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105" yWindow="0" windowWidth="12120" windowHeight="9120" tabRatio="413" firstSheet="5" activeTab="9"/>
  </bookViews>
  <sheets>
    <sheet name="16S-m-c" sheetId="36" state="hidden" r:id="rId1"/>
    <sheet name="80s Mic.Modal" sheetId="43" state="hidden" r:id="rId2"/>
    <sheet name="20S (2)" sheetId="35" state="hidden" r:id="rId3"/>
    <sheet name="o.e-(K)" sheetId="29" state="hidden" r:id="rId4"/>
    <sheet name="30s o.e-(K) (3)" sheetId="40" state="hidden" r:id="rId5"/>
    <sheet name="Prep Datas" sheetId="73" r:id="rId6"/>
    <sheet name="Spin MF" sheetId="68" r:id="rId7"/>
    <sheet name="Spin Datas" sheetId="72" r:id="rId8"/>
    <sheet name="Post Spin Datas" sheetId="70" r:id="rId9"/>
    <sheet name="Overall UKG" sheetId="69" r:id="rId10"/>
  </sheets>
  <definedNames>
    <definedName name="_xlnm.Print_Area" localSheetId="9">'Overall UKG'!$A$1:$R$55</definedName>
    <definedName name="_xlnm.Print_Area" localSheetId="7">'Spin Datas'!#REF!</definedName>
    <definedName name="_xlnm.Print_Area" localSheetId="6">'Spin MF'!$A$1:$I$20</definedName>
  </definedNames>
  <calcPr calcId="124519"/>
</workbook>
</file>

<file path=xl/calcChain.xml><?xml version="1.0" encoding="utf-8"?>
<calcChain xmlns="http://schemas.openxmlformats.org/spreadsheetml/2006/main">
  <c r="D5" i="70"/>
  <c r="E5"/>
  <c r="F5"/>
  <c r="G5"/>
  <c r="C5"/>
  <c r="L16" i="72"/>
  <c r="K16"/>
  <c r="G16"/>
  <c r="F16"/>
  <c r="E16"/>
  <c r="D16"/>
  <c r="C16"/>
  <c r="H5"/>
  <c r="I5" s="1"/>
  <c r="B16"/>
  <c r="H22" i="73"/>
  <c r="N20" i="69" s="1"/>
  <c r="G22" i="73"/>
  <c r="M20" i="69" s="1"/>
  <c r="F22" i="73"/>
  <c r="G20" i="69" s="1"/>
  <c r="E22" i="73"/>
  <c r="F20" i="69" s="1"/>
  <c r="D22" i="73"/>
  <c r="E20" i="69" s="1"/>
  <c r="C22" i="73"/>
  <c r="K20" i="69" s="1"/>
  <c r="H18" i="73"/>
  <c r="N19" i="69" s="1"/>
  <c r="G18" i="73"/>
  <c r="M19" i="69" s="1"/>
  <c r="F18" i="73"/>
  <c r="G19" i="69" s="1"/>
  <c r="E18" i="73"/>
  <c r="F19" i="69" s="1"/>
  <c r="D18" i="73"/>
  <c r="E19" i="69" s="1"/>
  <c r="C18" i="73"/>
  <c r="K19" i="69" s="1"/>
  <c r="H14" i="73"/>
  <c r="N18" i="69" s="1"/>
  <c r="G14" i="73"/>
  <c r="M18" i="69" s="1"/>
  <c r="F14" i="73"/>
  <c r="G18" i="69" s="1"/>
  <c r="E14" i="73"/>
  <c r="F18" i="69" s="1"/>
  <c r="D14" i="73"/>
  <c r="E18" i="69" s="1"/>
  <c r="C14" i="73"/>
  <c r="K18" i="69" s="1"/>
  <c r="H11" i="73"/>
  <c r="N17" i="69" s="1"/>
  <c r="G11" i="73"/>
  <c r="M17" i="69" s="1"/>
  <c r="F11" i="73"/>
  <c r="G17" i="69" s="1"/>
  <c r="E11" i="73"/>
  <c r="F17" i="69" s="1"/>
  <c r="D11" i="73"/>
  <c r="E17" i="69" s="1"/>
  <c r="C11" i="73"/>
  <c r="K17" i="69" s="1"/>
  <c r="H4" i="73"/>
  <c r="N16" i="69" s="1"/>
  <c r="G4" i="73"/>
  <c r="M16" i="69" s="1"/>
  <c r="F4" i="73"/>
  <c r="G16" i="69" s="1"/>
  <c r="E4" i="73"/>
  <c r="F16" i="69" s="1"/>
  <c r="D4" i="73"/>
  <c r="E16" i="69" s="1"/>
  <c r="C4" i="73"/>
  <c r="K16" i="69" s="1"/>
  <c r="M23" l="1"/>
  <c r="A2" i="72"/>
  <c r="M22" i="69"/>
  <c r="B3"/>
  <c r="H15" i="72"/>
  <c r="I15" s="1"/>
  <c r="H14"/>
  <c r="I14" s="1"/>
  <c r="H13"/>
  <c r="I13" s="1"/>
  <c r="H12"/>
  <c r="I12" s="1"/>
  <c r="H11"/>
  <c r="I11" s="1"/>
  <c r="H10"/>
  <c r="I10" s="1"/>
  <c r="H9"/>
  <c r="I9" s="1"/>
  <c r="H8"/>
  <c r="I8" s="1"/>
  <c r="H7"/>
  <c r="I7" s="1"/>
  <c r="H6"/>
  <c r="I6" s="1"/>
  <c r="I16" l="1"/>
  <c r="J10" i="69"/>
  <c r="K10" s="1"/>
  <c r="J11" s="1"/>
  <c r="L7"/>
  <c r="B5" i="70"/>
  <c r="O23" i="69"/>
  <c r="P23" s="1"/>
  <c r="O22"/>
  <c r="P22" s="1"/>
  <c r="O20"/>
  <c r="P20" s="1"/>
  <c r="H20"/>
  <c r="J20" s="1"/>
  <c r="L20" s="1"/>
  <c r="O19"/>
  <c r="P19" s="1"/>
  <c r="H19"/>
  <c r="J19" s="1"/>
  <c r="L19" s="1"/>
  <c r="O18"/>
  <c r="P18" s="1"/>
  <c r="H18"/>
  <c r="J18" s="1"/>
  <c r="L18" s="1"/>
  <c r="O17"/>
  <c r="P17" s="1"/>
  <c r="H17"/>
  <c r="J17" s="1"/>
  <c r="L17" s="1"/>
  <c r="O16"/>
  <c r="P16" s="1"/>
  <c r="H16"/>
  <c r="J16" s="1"/>
  <c r="L16" s="1"/>
  <c r="M10"/>
  <c r="N10" s="1"/>
  <c r="O10" s="1"/>
  <c r="P10" s="1"/>
  <c r="Q10" s="1"/>
  <c r="R10" s="1"/>
  <c r="B2"/>
  <c r="B2" i="72" s="1"/>
  <c r="K24" i="69" l="1"/>
  <c r="M25"/>
  <c r="O25" s="1"/>
  <c r="P25" s="1"/>
  <c r="E24"/>
  <c r="M24"/>
  <c r="O24" s="1"/>
  <c r="P24" s="1"/>
  <c r="F24"/>
  <c r="E21"/>
  <c r="H16" i="72"/>
  <c r="J21" i="69" s="1"/>
  <c r="B4" s="1"/>
  <c r="I11"/>
  <c r="K11"/>
  <c r="I9" i="68"/>
  <c r="B2"/>
  <c r="H24" i="69" l="1"/>
  <c r="J24" s="1"/>
  <c r="L24" s="1"/>
  <c r="Q25" s="1"/>
  <c r="Q23"/>
  <c r="Q22"/>
  <c r="J5" i="72"/>
  <c r="I13" i="68"/>
  <c r="J9" i="72" s="1"/>
  <c r="I12" i="68"/>
  <c r="J8" i="72" s="1"/>
  <c r="I14" i="68"/>
  <c r="J10" i="72" s="1"/>
  <c r="I16" i="68"/>
  <c r="J12" i="72" s="1"/>
  <c r="I18" i="68"/>
  <c r="J14" i="72" s="1"/>
  <c r="I10" i="68"/>
  <c r="J6" i="72" s="1"/>
  <c r="I11" i="68"/>
  <c r="J7" i="72" s="1"/>
  <c r="I15" i="68"/>
  <c r="J11" i="72" s="1"/>
  <c r="I17" i="68"/>
  <c r="J13" i="72" s="1"/>
  <c r="I19" i="68"/>
  <c r="J15" i="72" s="1"/>
  <c r="Q26" i="69"/>
  <c r="Q28"/>
  <c r="Q31"/>
  <c r="Q27"/>
  <c r="Q29"/>
  <c r="Q30"/>
  <c r="Q32"/>
  <c r="E4" i="40"/>
  <c r="F17"/>
  <c r="D5"/>
  <c r="E5"/>
  <c r="D6"/>
  <c r="E6"/>
  <c r="B31"/>
  <c r="D7"/>
  <c r="E7"/>
  <c r="D8"/>
  <c r="E8"/>
  <c r="B79"/>
  <c r="F11"/>
  <c r="B12"/>
  <c r="F12"/>
  <c r="B14"/>
  <c r="B44"/>
  <c r="B102"/>
  <c r="B15"/>
  <c r="D15"/>
  <c r="F15"/>
  <c r="D16"/>
  <c r="F16"/>
  <c r="B17"/>
  <c r="D18"/>
  <c r="D20"/>
  <c r="B25"/>
  <c r="B29"/>
  <c r="B32"/>
  <c r="B33"/>
  <c r="B38"/>
  <c r="B39"/>
  <c r="B40"/>
  <c r="B42"/>
  <c r="B43"/>
  <c r="B52"/>
  <c r="C52"/>
  <c r="B55"/>
  <c r="C55"/>
  <c r="B59"/>
  <c r="C59"/>
  <c r="B62"/>
  <c r="C62"/>
  <c r="B63"/>
  <c r="C63"/>
  <c r="B64"/>
  <c r="C64"/>
  <c r="B65"/>
  <c r="C65"/>
  <c r="B66"/>
  <c r="C66"/>
  <c r="B67"/>
  <c r="C67"/>
  <c r="B68"/>
  <c r="C68"/>
  <c r="B69"/>
  <c r="C69"/>
  <c r="B70"/>
  <c r="C70"/>
  <c r="B71"/>
  <c r="C71"/>
  <c r="B72"/>
  <c r="C72"/>
  <c r="B73"/>
  <c r="C73"/>
  <c r="B74"/>
  <c r="C74"/>
  <c r="B75"/>
  <c r="C75"/>
  <c r="B76"/>
  <c r="C76"/>
  <c r="B77"/>
  <c r="C77"/>
  <c r="B78"/>
  <c r="C78"/>
  <c r="C79"/>
  <c r="B87"/>
  <c r="C87"/>
  <c r="B89"/>
  <c r="C89"/>
  <c r="B90"/>
  <c r="C90"/>
  <c r="B92"/>
  <c r="C92"/>
  <c r="B93"/>
  <c r="C93"/>
  <c r="B94"/>
  <c r="C94"/>
  <c r="B97"/>
  <c r="C97"/>
  <c r="B98"/>
  <c r="C98"/>
  <c r="B99"/>
  <c r="C99"/>
  <c r="B100"/>
  <c r="C100"/>
  <c r="C101"/>
  <c r="C102"/>
  <c r="B103"/>
  <c r="C103"/>
  <c r="D5" i="29"/>
  <c r="E5"/>
  <c r="D20"/>
  <c r="D6"/>
  <c r="E6"/>
  <c r="D7"/>
  <c r="E7"/>
  <c r="D8"/>
  <c r="E4"/>
  <c r="F11"/>
  <c r="B12"/>
  <c r="F12"/>
  <c r="B15"/>
  <c r="B17"/>
  <c r="D15"/>
  <c r="F15"/>
  <c r="D16"/>
  <c r="F16"/>
  <c r="D18"/>
  <c r="B25"/>
  <c r="B29"/>
  <c r="B32"/>
  <c r="B38"/>
  <c r="B39"/>
  <c r="B40"/>
  <c r="B42"/>
  <c r="B52"/>
  <c r="B55"/>
  <c r="B99"/>
  <c r="B59"/>
  <c r="B62"/>
  <c r="B63"/>
  <c r="B100"/>
  <c r="B64"/>
  <c r="B65"/>
  <c r="B66"/>
  <c r="B67"/>
  <c r="B68"/>
  <c r="B69"/>
  <c r="B70"/>
  <c r="B71"/>
  <c r="B72"/>
  <c r="B73"/>
  <c r="B74"/>
  <c r="B75"/>
  <c r="B76"/>
  <c r="B77"/>
  <c r="B78"/>
  <c r="B87"/>
  <c r="B89"/>
  <c r="B90"/>
  <c r="B94"/>
  <c r="B103"/>
  <c r="B92"/>
  <c r="B93"/>
  <c r="B97"/>
  <c r="B98"/>
  <c r="D5" i="35"/>
  <c r="D6"/>
  <c r="D7"/>
  <c r="D8"/>
  <c r="D9"/>
  <c r="D10"/>
  <c r="D11"/>
  <c r="E11"/>
  <c r="D12"/>
  <c r="E4"/>
  <c r="E12"/>
  <c r="F14"/>
  <c r="B15"/>
  <c r="F15"/>
  <c r="B18"/>
  <c r="D18"/>
  <c r="F18"/>
  <c r="D19"/>
  <c r="F19"/>
  <c r="D21"/>
  <c r="B28"/>
  <c r="B32"/>
  <c r="B35"/>
  <c r="B41"/>
  <c r="C41"/>
  <c r="B42"/>
  <c r="C42"/>
  <c r="B46"/>
  <c r="C46"/>
  <c r="B55"/>
  <c r="B56"/>
  <c r="B57"/>
  <c r="B62"/>
  <c r="B58"/>
  <c r="B59"/>
  <c r="B60"/>
  <c r="B61"/>
  <c r="B66"/>
  <c r="B77"/>
  <c r="B79"/>
  <c r="B89"/>
  <c r="B92"/>
  <c r="B95"/>
  <c r="B98"/>
  <c r="B101"/>
  <c r="B102"/>
  <c r="B115"/>
  <c r="B116"/>
  <c r="B103"/>
  <c r="B104"/>
  <c r="B105"/>
  <c r="B106"/>
  <c r="B107"/>
  <c r="B108"/>
  <c r="B109"/>
  <c r="B110"/>
  <c r="B111"/>
  <c r="B112"/>
  <c r="B113"/>
  <c r="B114"/>
  <c r="B120"/>
  <c r="B124"/>
  <c r="B127"/>
  <c r="B128"/>
  <c r="B129"/>
  <c r="B130"/>
  <c r="B131"/>
  <c r="B132"/>
  <c r="B133"/>
  <c r="B134"/>
  <c r="B135"/>
  <c r="B136"/>
  <c r="B137"/>
  <c r="B138"/>
  <c r="B172"/>
  <c r="B142"/>
  <c r="B155"/>
  <c r="B173"/>
  <c r="B147"/>
  <c r="B148"/>
  <c r="B150"/>
  <c r="B151"/>
  <c r="B153"/>
  <c r="B154"/>
  <c r="B163"/>
  <c r="B166"/>
  <c r="B167"/>
  <c r="B181"/>
  <c r="B182"/>
  <c r="B183"/>
  <c r="B184"/>
  <c r="B185"/>
  <c r="B192"/>
  <c r="B195"/>
  <c r="B196"/>
  <c r="B198"/>
  <c r="B199"/>
  <c r="B200"/>
  <c r="B201"/>
  <c r="B203"/>
  <c r="B204"/>
  <c r="B207"/>
  <c r="E4" i="43"/>
  <c r="D5"/>
  <c r="E5"/>
  <c r="F18"/>
  <c r="D6"/>
  <c r="E6"/>
  <c r="D7"/>
  <c r="E7"/>
  <c r="D8"/>
  <c r="E8"/>
  <c r="D9"/>
  <c r="E9"/>
  <c r="D10"/>
  <c r="E10"/>
  <c r="F12"/>
  <c r="B13"/>
  <c r="F13"/>
  <c r="B15"/>
  <c r="B16"/>
  <c r="D16"/>
  <c r="F16"/>
  <c r="D17"/>
  <c r="F17"/>
  <c r="B18"/>
  <c r="D19"/>
  <c r="B21"/>
  <c r="D21"/>
  <c r="B26"/>
  <c r="B30"/>
  <c r="B32"/>
  <c r="B33"/>
  <c r="B34"/>
  <c r="B39"/>
  <c r="B45"/>
  <c r="B46"/>
  <c r="C39"/>
  <c r="B40"/>
  <c r="C40"/>
  <c r="B41"/>
  <c r="C41"/>
  <c r="B42"/>
  <c r="B44"/>
  <c r="C44"/>
  <c r="C45"/>
  <c r="B53"/>
  <c r="B54"/>
  <c r="B55"/>
  <c r="B60"/>
  <c r="B62"/>
  <c r="B56"/>
  <c r="B57"/>
  <c r="B58"/>
  <c r="B59"/>
  <c r="B64"/>
  <c r="B65"/>
  <c r="B75"/>
  <c r="B77"/>
  <c r="B78"/>
  <c r="B166"/>
  <c r="B80"/>
  <c r="B87"/>
  <c r="B90"/>
  <c r="B91"/>
  <c r="B92"/>
  <c r="B167"/>
  <c r="B93"/>
  <c r="B94"/>
  <c r="B96"/>
  <c r="B97"/>
  <c r="B99"/>
  <c r="B100"/>
  <c r="B113"/>
  <c r="B114"/>
  <c r="B115"/>
  <c r="B101"/>
  <c r="B102"/>
  <c r="B103"/>
  <c r="B104"/>
  <c r="B105"/>
  <c r="B106"/>
  <c r="B107"/>
  <c r="B108"/>
  <c r="B109"/>
  <c r="B110"/>
  <c r="B111"/>
  <c r="B112"/>
  <c r="B122"/>
  <c r="B124"/>
  <c r="B125"/>
  <c r="B126"/>
  <c r="B127"/>
  <c r="B128"/>
  <c r="B129"/>
  <c r="B130"/>
  <c r="B131"/>
  <c r="B132"/>
  <c r="B133"/>
  <c r="B134"/>
  <c r="B135"/>
  <c r="B136"/>
  <c r="B170"/>
  <c r="B140"/>
  <c r="B153"/>
  <c r="B171"/>
  <c r="B145"/>
  <c r="B146"/>
  <c r="B148"/>
  <c r="B149"/>
  <c r="B151"/>
  <c r="B152"/>
  <c r="B161"/>
  <c r="B164"/>
  <c r="B165"/>
  <c r="B179"/>
  <c r="B181"/>
  <c r="B182"/>
  <c r="B183"/>
  <c r="B190"/>
  <c r="B192"/>
  <c r="B193"/>
  <c r="B194"/>
  <c r="B206"/>
  <c r="B199"/>
  <c r="B202"/>
  <c r="B203"/>
  <c r="B204"/>
  <c r="B207"/>
  <c r="L4" i="36"/>
  <c r="D5"/>
  <c r="E5"/>
  <c r="F18"/>
  <c r="K5"/>
  <c r="L5"/>
  <c r="K23"/>
  <c r="D6"/>
  <c r="E6"/>
  <c r="K6"/>
  <c r="L6"/>
  <c r="L31"/>
  <c r="D7"/>
  <c r="E7"/>
  <c r="B32"/>
  <c r="K7"/>
  <c r="L7"/>
  <c r="D8"/>
  <c r="E8"/>
  <c r="K8"/>
  <c r="L8"/>
  <c r="D9"/>
  <c r="E9"/>
  <c r="K9"/>
  <c r="L9"/>
  <c r="D10"/>
  <c r="E4"/>
  <c r="B21"/>
  <c r="E10"/>
  <c r="K10"/>
  <c r="L10"/>
  <c r="K11"/>
  <c r="L11"/>
  <c r="F12"/>
  <c r="B13"/>
  <c r="F13"/>
  <c r="M14"/>
  <c r="I15"/>
  <c r="M15"/>
  <c r="D16"/>
  <c r="F16"/>
  <c r="D17"/>
  <c r="F17"/>
  <c r="I17"/>
  <c r="I18"/>
  <c r="I20"/>
  <c r="K18"/>
  <c r="D19"/>
  <c r="K19"/>
  <c r="M19"/>
  <c r="M20"/>
  <c r="D21"/>
  <c r="K21"/>
  <c r="I23"/>
  <c r="B26"/>
  <c r="I28"/>
  <c r="L28"/>
  <c r="M28"/>
  <c r="B30"/>
  <c r="L30"/>
  <c r="M30"/>
  <c r="M31"/>
  <c r="I32"/>
  <c r="B33"/>
  <c r="B34"/>
  <c r="I35"/>
  <c r="I36"/>
  <c r="L37"/>
  <c r="L38"/>
  <c r="B39"/>
  <c r="C39"/>
  <c r="B40"/>
  <c r="B41"/>
  <c r="B42"/>
  <c r="C40"/>
  <c r="L40"/>
  <c r="C41"/>
  <c r="L43"/>
  <c r="B44"/>
  <c r="B45"/>
  <c r="B46"/>
  <c r="C44"/>
  <c r="L44"/>
  <c r="C45"/>
  <c r="B53"/>
  <c r="B54"/>
  <c r="B55"/>
  <c r="B60"/>
  <c r="B62"/>
  <c r="B56"/>
  <c r="B57"/>
  <c r="B58"/>
  <c r="B59"/>
  <c r="B64"/>
  <c r="B65"/>
  <c r="B75"/>
  <c r="B77"/>
  <c r="B78"/>
  <c r="B166"/>
  <c r="B80"/>
  <c r="B87"/>
  <c r="B90"/>
  <c r="B91"/>
  <c r="B92"/>
  <c r="B167"/>
  <c r="B93"/>
  <c r="B94"/>
  <c r="B96"/>
  <c r="B97"/>
  <c r="B99"/>
  <c r="B100"/>
  <c r="B113"/>
  <c r="B114"/>
  <c r="B115"/>
  <c r="B101"/>
  <c r="B102"/>
  <c r="B103"/>
  <c r="B104"/>
  <c r="B105"/>
  <c r="B106"/>
  <c r="B107"/>
  <c r="B108"/>
  <c r="B109"/>
  <c r="B110"/>
  <c r="B111"/>
  <c r="B112"/>
  <c r="B118"/>
  <c r="B122"/>
  <c r="B124"/>
  <c r="B125"/>
  <c r="B127"/>
  <c r="B128"/>
  <c r="B135"/>
  <c r="B129"/>
  <c r="B130"/>
  <c r="B131"/>
  <c r="B132"/>
  <c r="B133"/>
  <c r="B134"/>
  <c r="B143"/>
  <c r="B145"/>
  <c r="B146"/>
  <c r="B148"/>
  <c r="B149"/>
  <c r="B151"/>
  <c r="B152"/>
  <c r="B161"/>
  <c r="B164"/>
  <c r="B165"/>
  <c r="B17" i="35"/>
  <c r="B20"/>
  <c r="B23"/>
  <c r="B153" i="36"/>
  <c r="B171"/>
  <c r="B136"/>
  <c r="B170"/>
  <c r="B126"/>
  <c r="L41"/>
  <c r="I49"/>
  <c r="B15"/>
  <c r="B208" i="43"/>
  <c r="B67"/>
  <c r="B168"/>
  <c r="B208" i="35"/>
  <c r="B67" i="36"/>
  <c r="B168"/>
  <c r="B66" i="43"/>
  <c r="B169"/>
  <c r="F17" i="29"/>
  <c r="B20"/>
  <c r="B14"/>
  <c r="B31"/>
  <c r="B33"/>
  <c r="I34" i="36"/>
  <c r="I48"/>
  <c r="B206" i="35"/>
  <c r="B43" i="29"/>
  <c r="E10" i="35"/>
  <c r="E9"/>
  <c r="B117"/>
  <c r="E8"/>
  <c r="B67"/>
  <c r="E7"/>
  <c r="E6"/>
  <c r="E5"/>
  <c r="E8" i="29"/>
  <c r="B79"/>
  <c r="B20" i="40"/>
  <c r="B45"/>
  <c r="B101"/>
  <c r="B44" i="29"/>
  <c r="B102"/>
  <c r="B80" i="35"/>
  <c r="B168"/>
  <c r="D23"/>
  <c r="F20"/>
  <c r="B43"/>
  <c r="C47"/>
  <c r="B34"/>
  <c r="C43"/>
  <c r="B47"/>
  <c r="B82"/>
  <c r="B96"/>
  <c r="B99"/>
  <c r="B45" i="29"/>
  <c r="B101"/>
  <c r="B36" i="35"/>
  <c r="B93"/>
  <c r="B94"/>
  <c r="B169"/>
  <c r="B64"/>
  <c r="B66" i="36"/>
  <c r="B169"/>
  <c r="B68" i="35"/>
  <c r="B171"/>
  <c r="B48"/>
  <c r="B69"/>
  <c r="B170"/>
  <c r="B44"/>
  <c r="J16" i="72" l="1"/>
  <c r="O21" i="69" s="1"/>
  <c r="P21" s="1"/>
  <c r="R26"/>
  <c r="Q11"/>
  <c r="Q21" l="1"/>
  <c r="R21" s="1"/>
  <c r="R11"/>
  <c r="L11"/>
  <c r="M11"/>
  <c r="Q16" s="1"/>
  <c r="N11"/>
  <c r="Q17" s="1"/>
  <c r="O11"/>
  <c r="P11"/>
  <c r="Q20" s="1"/>
  <c r="Q18" l="1"/>
  <c r="Q19"/>
  <c r="Q24"/>
  <c r="R24" s="1"/>
  <c r="R16" l="1"/>
  <c r="R33"/>
</calcChain>
</file>

<file path=xl/sharedStrings.xml><?xml version="1.0" encoding="utf-8"?>
<sst xmlns="http://schemas.openxmlformats.org/spreadsheetml/2006/main" count="1193" uniqueCount="309">
  <si>
    <t>Waste%</t>
  </si>
  <si>
    <t>wm</t>
  </si>
  <si>
    <t>Mixing</t>
  </si>
  <si>
    <t>Blow room</t>
  </si>
  <si>
    <t>Carding</t>
  </si>
  <si>
    <t>Drawing</t>
  </si>
  <si>
    <t>Simplex</t>
  </si>
  <si>
    <t>Spinnig</t>
  </si>
  <si>
    <t>Autoconer</t>
  </si>
  <si>
    <t xml:space="preserve">Bale carrier </t>
  </si>
  <si>
    <t>kgs</t>
  </si>
  <si>
    <t>HOK</t>
  </si>
  <si>
    <t>Mix operatives</t>
  </si>
  <si>
    <t>Bale opener HP</t>
  </si>
  <si>
    <t>Prod/ hr</t>
  </si>
  <si>
    <t>UKG</t>
  </si>
  <si>
    <t>Hank</t>
  </si>
  <si>
    <t>Mpm</t>
  </si>
  <si>
    <t>Efficiency</t>
  </si>
  <si>
    <t>Prod/card/hr</t>
  </si>
  <si>
    <t>No of cards</t>
  </si>
  <si>
    <t>Avg/card/HP</t>
  </si>
  <si>
    <t>Hours/day</t>
  </si>
  <si>
    <t>Prod/day</t>
  </si>
  <si>
    <t>Fitter+Helper</t>
  </si>
  <si>
    <t>Total op hrs</t>
  </si>
  <si>
    <t>Avg Unis/hr/card</t>
  </si>
  <si>
    <t>Breaker</t>
  </si>
  <si>
    <t>Finisher</t>
  </si>
  <si>
    <t>Prod/day/m/c</t>
  </si>
  <si>
    <t>Tenter Op.hrs</t>
  </si>
  <si>
    <t>Hok</t>
  </si>
  <si>
    <t>Total hok</t>
  </si>
  <si>
    <t>HP</t>
  </si>
  <si>
    <t>Units/m/c/day</t>
  </si>
  <si>
    <t>Ukg</t>
  </si>
  <si>
    <t>Tot. ukg</t>
  </si>
  <si>
    <t>Tpi</t>
  </si>
  <si>
    <t>Speed</t>
  </si>
  <si>
    <t>Sdle/m/c</t>
  </si>
  <si>
    <t>Doffer</t>
  </si>
  <si>
    <t>Maistry</t>
  </si>
  <si>
    <t>Sweeper</t>
  </si>
  <si>
    <t>Tot.op.hrs/m/c/day</t>
  </si>
  <si>
    <t>Hok upto simplex</t>
  </si>
  <si>
    <t>Ukg upto simplex</t>
  </si>
  <si>
    <t>RING FRAME</t>
  </si>
  <si>
    <t>Actual count</t>
  </si>
  <si>
    <t>TPI</t>
  </si>
  <si>
    <t>Eff(d)</t>
  </si>
  <si>
    <t>Ps =STD GPS</t>
  </si>
  <si>
    <t>Factor</t>
  </si>
  <si>
    <t>Watts/spdl.</t>
  </si>
  <si>
    <t>V2 (Pn+ohtc)</t>
  </si>
  <si>
    <t>Units/day</t>
  </si>
  <si>
    <t>Lighting</t>
  </si>
  <si>
    <t>Compressor</t>
  </si>
  <si>
    <t>Plant &amp; Exhaust</t>
  </si>
  <si>
    <t>Workshop</t>
  </si>
  <si>
    <t>Total</t>
  </si>
  <si>
    <t>Total spdle.</t>
  </si>
  <si>
    <t>Utli.</t>
  </si>
  <si>
    <t>Units/1000/spdles</t>
  </si>
  <si>
    <t>V2 (L+C+Plant+etc.</t>
  </si>
  <si>
    <t>V2</t>
  </si>
  <si>
    <t>Spdle/tenter</t>
  </si>
  <si>
    <t>Tenter hok</t>
  </si>
  <si>
    <t>Pro./day</t>
  </si>
  <si>
    <t>Doffer op.hrs/day</t>
  </si>
  <si>
    <t>Doffer hok</t>
  </si>
  <si>
    <t>Others</t>
  </si>
  <si>
    <t>Doffing maistry</t>
  </si>
  <si>
    <t>Bobbin carrier</t>
  </si>
  <si>
    <t>Full clg</t>
  </si>
  <si>
    <t>Fitter+heleper</t>
  </si>
  <si>
    <t>Buffing</t>
  </si>
  <si>
    <t>Electrical</t>
  </si>
  <si>
    <t>Gardener</t>
  </si>
  <si>
    <t>Work shop</t>
  </si>
  <si>
    <t>Canteen</t>
  </si>
  <si>
    <t>Total Others</t>
  </si>
  <si>
    <t>Others/1000 spdl/shift</t>
  </si>
  <si>
    <t>Others hok</t>
  </si>
  <si>
    <t>Drum/m/c</t>
  </si>
  <si>
    <t>Effi.</t>
  </si>
  <si>
    <t>Pro./m/c/day</t>
  </si>
  <si>
    <t>Units/hr/m/c</t>
  </si>
  <si>
    <t>Plant units/m/c/hr</t>
  </si>
  <si>
    <t>Total Units/m/c/day</t>
  </si>
  <si>
    <t>Tenter Op.hrs/day</t>
  </si>
  <si>
    <t>Empties collect</t>
  </si>
  <si>
    <t>Rewinder</t>
  </si>
  <si>
    <t>Packing</t>
  </si>
  <si>
    <t>Pallet wt.</t>
  </si>
  <si>
    <t>Count</t>
  </si>
  <si>
    <t>Ps</t>
  </si>
  <si>
    <t>V1</t>
  </si>
  <si>
    <t>Fixed ukg</t>
  </si>
  <si>
    <t>HOK upto spg</t>
  </si>
  <si>
    <t>A/c hok</t>
  </si>
  <si>
    <t>Packing hok</t>
  </si>
  <si>
    <r>
      <t>V1 =</t>
    </r>
    <r>
      <rPr>
        <sz val="10"/>
        <rFont val="Arial"/>
        <family val="2"/>
      </rPr>
      <t>R/F UKG</t>
    </r>
  </si>
  <si>
    <t>hok</t>
  </si>
  <si>
    <t xml:space="preserve">COSTING  DETAILS  </t>
  </si>
  <si>
    <t>Lap feed line</t>
  </si>
  <si>
    <t>Lap wt</t>
  </si>
  <si>
    <t>Time/Lap</t>
  </si>
  <si>
    <t>Eff</t>
  </si>
  <si>
    <t>prdn/hr</t>
  </si>
  <si>
    <t>prdn/day</t>
  </si>
  <si>
    <t>units/hr</t>
  </si>
  <si>
    <t>back tenter</t>
  </si>
  <si>
    <t>sc tenter</t>
  </si>
  <si>
    <t>Lap tier</t>
  </si>
  <si>
    <t>sweeper</t>
  </si>
  <si>
    <t>fitter+help</t>
  </si>
  <si>
    <t>Can carrier</t>
  </si>
  <si>
    <t>no.of machines</t>
  </si>
  <si>
    <t>Pn +OHTC H.P</t>
  </si>
  <si>
    <t>Borewell, canteen</t>
  </si>
  <si>
    <t>Running clg</t>
  </si>
  <si>
    <t>Scavanger</t>
  </si>
  <si>
    <t>Security persons</t>
  </si>
  <si>
    <t>Cops carrier</t>
  </si>
  <si>
    <t>Cone carrier</t>
  </si>
  <si>
    <t>fitter + helper</t>
  </si>
  <si>
    <t>Tot .op.hrs/day/ 5machines</t>
  </si>
  <si>
    <t>Carton wt.</t>
  </si>
  <si>
    <t>no.of.cartons/operative</t>
  </si>
  <si>
    <t>Kgs checked</t>
  </si>
  <si>
    <t>operative hours</t>
  </si>
  <si>
    <t>kgs strapped</t>
  </si>
  <si>
    <t>Lable pasting kgs</t>
  </si>
  <si>
    <t>Strapping HP</t>
  </si>
  <si>
    <t>pallets HP</t>
  </si>
  <si>
    <t>Units/container</t>
  </si>
  <si>
    <t>time/pallet mins</t>
  </si>
  <si>
    <t>time/carton min</t>
  </si>
  <si>
    <t>pallets/container</t>
  </si>
  <si>
    <t>cartons/container</t>
  </si>
  <si>
    <t>no.of.operative hrs/pallet</t>
  </si>
  <si>
    <t xml:space="preserve">Packing   cost/kgs </t>
  </si>
  <si>
    <t>AGT Mills</t>
  </si>
  <si>
    <t>Comber</t>
  </si>
  <si>
    <t>Spinning</t>
  </si>
  <si>
    <t>cotton/lycra</t>
  </si>
  <si>
    <t>Lap cards</t>
  </si>
  <si>
    <t>SL / RL</t>
  </si>
  <si>
    <t>wt/mt</t>
  </si>
  <si>
    <t>mpm</t>
  </si>
  <si>
    <t>eff</t>
  </si>
  <si>
    <t>sl</t>
  </si>
  <si>
    <t>rl</t>
  </si>
  <si>
    <t>npm</t>
  </si>
  <si>
    <t>rate of feed</t>
  </si>
  <si>
    <t>waste%</t>
  </si>
  <si>
    <t>prdn/cmr/day</t>
  </si>
  <si>
    <t>no.of.cmbr</t>
  </si>
  <si>
    <t>op/hrs</t>
  </si>
  <si>
    <t>Cards</t>
  </si>
  <si>
    <t>HP/comber</t>
  </si>
  <si>
    <t>count</t>
  </si>
  <si>
    <t>open end</t>
  </si>
  <si>
    <t>O.E</t>
  </si>
  <si>
    <t>Hok upto drawing</t>
  </si>
  <si>
    <t>Ukg upto drawing</t>
  </si>
  <si>
    <t>OPEN END</t>
  </si>
  <si>
    <t>units/m/c/hr</t>
  </si>
  <si>
    <r>
      <t>V1 =O.E</t>
    </r>
    <r>
      <rPr>
        <sz val="10"/>
        <rFont val="Arial"/>
        <family val="2"/>
      </rPr>
      <t xml:space="preserve"> UKG</t>
    </r>
  </si>
  <si>
    <t>no.of.rotors/m/c</t>
  </si>
  <si>
    <t>Total rotors</t>
  </si>
  <si>
    <t>Units/1000/rotors</t>
  </si>
  <si>
    <t>Fitter+helper</t>
  </si>
  <si>
    <t>Cheese carrier</t>
  </si>
  <si>
    <t>Sider</t>
  </si>
  <si>
    <t>cleaning</t>
  </si>
  <si>
    <t>Total operative hrs</t>
  </si>
  <si>
    <t>Others/1000 rotor/shift</t>
  </si>
  <si>
    <t>20s VSF</t>
  </si>
  <si>
    <t>20s SF</t>
  </si>
  <si>
    <t>TFO</t>
  </si>
  <si>
    <t>COUNT</t>
  </si>
  <si>
    <t>tpi</t>
  </si>
  <si>
    <t>no.of.machines</t>
  </si>
  <si>
    <t>Doubler winding</t>
  </si>
  <si>
    <t>act.count</t>
  </si>
  <si>
    <t>no.of.drums</t>
  </si>
  <si>
    <t>prdn/frame/shift</t>
  </si>
  <si>
    <t>units/shift</t>
  </si>
  <si>
    <t>Doubling</t>
  </si>
  <si>
    <t>no.of.spdle/frm</t>
  </si>
  <si>
    <t>speed</t>
  </si>
  <si>
    <t>prdn/frame/day</t>
  </si>
  <si>
    <t>units/frame/day</t>
  </si>
  <si>
    <t>Winding</t>
  </si>
  <si>
    <t>drums</t>
  </si>
  <si>
    <t>prdn/shift</t>
  </si>
  <si>
    <t>operat.hrs/shift</t>
  </si>
  <si>
    <t>Pd</t>
  </si>
  <si>
    <t>total hok</t>
  </si>
  <si>
    <t>total ukg</t>
  </si>
  <si>
    <t>Pt</t>
  </si>
  <si>
    <t>Tot .op.hrs/day/ machines</t>
  </si>
  <si>
    <t>Doubler winding (peas)</t>
  </si>
  <si>
    <t>2/20s</t>
  </si>
  <si>
    <t>32s O.E</t>
  </si>
  <si>
    <t>Bag wt.</t>
  </si>
  <si>
    <t>no.of.bags/operative</t>
  </si>
  <si>
    <t>Micro Modal</t>
  </si>
  <si>
    <t>16s M/C</t>
  </si>
  <si>
    <t>FLEECE</t>
  </si>
  <si>
    <t>Operative hours</t>
  </si>
  <si>
    <t xml:space="preserve">MODAL </t>
  </si>
  <si>
    <t>16s MODAL/COTTON(50/50)</t>
  </si>
  <si>
    <t>30s O.E II Q</t>
  </si>
  <si>
    <t>31s O.E II Q</t>
  </si>
  <si>
    <t>80s Micro Modal</t>
  </si>
  <si>
    <t>2/80s Micro Modal</t>
  </si>
  <si>
    <t>2/80s Mic.Modal</t>
  </si>
  <si>
    <t>Wm</t>
  </si>
  <si>
    <t>MPM</t>
  </si>
  <si>
    <t>Department</t>
  </si>
  <si>
    <t>Blow Room (PC)</t>
  </si>
  <si>
    <t>Carding (PC)</t>
  </si>
  <si>
    <t>Drawing (Breaker)</t>
  </si>
  <si>
    <t>Drawing (Finisher)</t>
  </si>
  <si>
    <t>Quarters</t>
  </si>
  <si>
    <t>Eff %</t>
  </si>
  <si>
    <t>Kgs / Hr</t>
  </si>
  <si>
    <t>Utili %</t>
  </si>
  <si>
    <t>Kgs/ Day</t>
  </si>
  <si>
    <t xml:space="preserve"> Total Kgs</t>
  </si>
  <si>
    <t>per Day</t>
  </si>
  <si>
    <t xml:space="preserve">Motor </t>
  </si>
  <si>
    <t xml:space="preserve">Units / </t>
  </si>
  <si>
    <t>Hour</t>
  </si>
  <si>
    <t>Day</t>
  </si>
  <si>
    <t>-</t>
  </si>
  <si>
    <t>Well Motor</t>
  </si>
  <si>
    <t>Gms / Spl</t>
  </si>
  <si>
    <t>MF</t>
  </si>
  <si>
    <t>RF No.</t>
  </si>
  <si>
    <t>Spls.</t>
  </si>
  <si>
    <t>Process</t>
  </si>
  <si>
    <t>Blend</t>
  </si>
  <si>
    <t>Parameters</t>
  </si>
  <si>
    <t>Waste %</t>
  </si>
  <si>
    <t>Individual</t>
  </si>
  <si>
    <t>Overall</t>
  </si>
  <si>
    <t xml:space="preserve">Air Compressor </t>
  </si>
  <si>
    <t>Ring Frame</t>
  </si>
  <si>
    <t>Pne. HP</t>
  </si>
  <si>
    <t>RFs.</t>
  </si>
  <si>
    <t xml:space="preserve">No.of </t>
  </si>
  <si>
    <t>Delivery</t>
  </si>
  <si>
    <t>OHTC</t>
  </si>
  <si>
    <t>Drums</t>
  </si>
  <si>
    <t>Machine</t>
  </si>
  <si>
    <t>Nos.</t>
  </si>
  <si>
    <t>R.F.No.</t>
  </si>
  <si>
    <t>Main</t>
  </si>
  <si>
    <t>Motor</t>
  </si>
  <si>
    <t>Type of</t>
  </si>
  <si>
    <t>Drive</t>
  </si>
  <si>
    <t>Dia in "</t>
  </si>
  <si>
    <t>ABS Pulley</t>
  </si>
  <si>
    <t>Spl. wharve</t>
  </si>
  <si>
    <t>Ring Tube</t>
  </si>
  <si>
    <t>Ht. in mm</t>
  </si>
  <si>
    <t xml:space="preserve">Ring </t>
  </si>
  <si>
    <t>Dia in mm</t>
  </si>
  <si>
    <t>Dept.</t>
  </si>
  <si>
    <t>S.Speed</t>
  </si>
  <si>
    <t>Make</t>
  </si>
  <si>
    <t>Date :</t>
  </si>
  <si>
    <t>Std = 0.00</t>
  </si>
  <si>
    <t>EE = 3.00%</t>
  </si>
  <si>
    <t>V/T Belt = 0.00</t>
  </si>
  <si>
    <t>Flat = 3.00%</t>
  </si>
  <si>
    <t>1 Inch = 2.00%</t>
  </si>
  <si>
    <t>1 MM = 1.00%</t>
  </si>
  <si>
    <t xml:space="preserve"> 10 MM = 1.00%</t>
  </si>
  <si>
    <t>1 MM = 2.00%</t>
  </si>
  <si>
    <t>**  This working is based on SITRA ' Ring spindle power consumption in watts formula' but consideing modernisation level **</t>
  </si>
  <si>
    <t xml:space="preserve">Simplex </t>
  </si>
  <si>
    <t>Cotton Fleese (Carded)</t>
  </si>
  <si>
    <t>Kgs./Day</t>
  </si>
  <si>
    <t>Efficiency %</t>
  </si>
  <si>
    <t>Motor Eff %</t>
  </si>
  <si>
    <t>Spinning                 - Main</t>
  </si>
  <si>
    <t xml:space="preserve">                               - Pneumafil</t>
  </si>
  <si>
    <t>Post Spinning        - Main</t>
  </si>
  <si>
    <t xml:space="preserve">                              - OHTC</t>
  </si>
  <si>
    <t xml:space="preserve">                               - OHTC</t>
  </si>
  <si>
    <t>YR % ( For  UKG )</t>
  </si>
  <si>
    <t>PREPARATORY DATAS</t>
  </si>
  <si>
    <t>SPINNING DATAS</t>
  </si>
  <si>
    <t xml:space="preserve">Spinning Modernisation Factor </t>
  </si>
  <si>
    <t>KW</t>
  </si>
  <si>
    <t>Auto Coner</t>
  </si>
  <si>
    <t>Compator Chute Line</t>
  </si>
  <si>
    <t>Drawing Breaker</t>
  </si>
  <si>
    <t>Drawing Finisher</t>
  </si>
  <si>
    <t>G5/1</t>
  </si>
  <si>
    <t>Kgs/Day</t>
  </si>
  <si>
    <t xml:space="preserve">Pre Opener </t>
  </si>
  <si>
    <t xml:space="preserve"> EXPECTED UKG - BLEND PROCESS</t>
  </si>
  <si>
    <t>Nos./Deliveries</t>
  </si>
  <si>
    <t xml:space="preserve">Exhaust </t>
  </si>
</sst>
</file>

<file path=xl/styles.xml><?xml version="1.0" encoding="utf-8"?>
<styleSheet xmlns="http://schemas.openxmlformats.org/spreadsheetml/2006/main">
  <numFmts count="5">
    <numFmt numFmtId="164" formatCode="0.000"/>
    <numFmt numFmtId="165" formatCode="0.0000"/>
    <numFmt numFmtId="166" formatCode="0.0"/>
    <numFmt numFmtId="167" formatCode="0.00000"/>
    <numFmt numFmtId="168" formatCode="[$-409]d\-mmm\-yy;@"/>
  </numFmts>
  <fonts count="3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10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1"/>
      <name val="Bookman Old Style"/>
      <family val="1"/>
    </font>
    <font>
      <sz val="11"/>
      <name val="Bookman Old Style"/>
      <family val="1"/>
    </font>
    <font>
      <b/>
      <u/>
      <sz val="11"/>
      <color rgb="FF0000FF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b/>
      <sz val="9"/>
      <color rgb="FF0000FF"/>
      <name val="Arial"/>
      <family val="2"/>
    </font>
    <font>
      <b/>
      <sz val="9"/>
      <color rgb="FFC00000"/>
      <name val="Arial"/>
      <family val="2"/>
    </font>
    <font>
      <b/>
      <sz val="9"/>
      <color rgb="FF00B0F0"/>
      <name val="Arial"/>
      <family val="2"/>
    </font>
    <font>
      <b/>
      <sz val="9"/>
      <color rgb="FF00B050"/>
      <name val="Arial"/>
      <family val="2"/>
    </font>
    <font>
      <b/>
      <u/>
      <sz val="12"/>
      <name val="Cambria"/>
      <family val="1"/>
      <scheme val="major"/>
    </font>
    <font>
      <b/>
      <sz val="10"/>
      <name val="Cambria"/>
      <family val="1"/>
      <scheme val="major"/>
    </font>
    <font>
      <b/>
      <sz val="10"/>
      <color rgb="FF0000FF"/>
      <name val="Cambria"/>
      <family val="1"/>
      <scheme val="major"/>
    </font>
    <font>
      <sz val="10"/>
      <name val="Cambria"/>
      <family val="1"/>
      <scheme val="major"/>
    </font>
    <font>
      <sz val="10"/>
      <color rgb="FF0000FF"/>
      <name val="Cambria"/>
      <family val="1"/>
      <scheme val="major"/>
    </font>
    <font>
      <b/>
      <sz val="10"/>
      <color rgb="FFC00000"/>
      <name val="Cambria"/>
      <family val="1"/>
      <scheme val="major"/>
    </font>
    <font>
      <b/>
      <u/>
      <sz val="14"/>
      <name val="Cambria"/>
      <family val="1"/>
      <scheme val="major"/>
    </font>
    <font>
      <b/>
      <sz val="9"/>
      <name val="Cambria"/>
      <family val="1"/>
      <scheme val="major"/>
    </font>
    <font>
      <b/>
      <sz val="9"/>
      <color rgb="FF0000FF"/>
      <name val="Cambria"/>
      <family val="1"/>
      <scheme val="major"/>
    </font>
    <font>
      <b/>
      <u/>
      <sz val="9"/>
      <name val="Cambria"/>
      <family val="1"/>
      <scheme val="major"/>
    </font>
    <font>
      <b/>
      <sz val="9"/>
      <color rgb="FF00B050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1" fillId="0" borderId="0"/>
    <xf numFmtId="9" fontId="8" fillId="0" borderId="0" applyFont="0" applyFill="0" applyBorder="0" applyAlignment="0" applyProtection="0"/>
  </cellStyleXfs>
  <cellXfs count="33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Border="1"/>
    <xf numFmtId="164" fontId="0" fillId="0" borderId="2" xfId="0" applyNumberFormat="1" applyBorder="1"/>
    <xf numFmtId="2" fontId="0" fillId="0" borderId="1" xfId="0" applyNumberFormat="1" applyBorder="1"/>
    <xf numFmtId="0" fontId="2" fillId="0" borderId="0" xfId="0" applyFont="1"/>
    <xf numFmtId="165" fontId="2" fillId="0" borderId="0" xfId="0" applyNumberFormat="1" applyFont="1"/>
    <xf numFmtId="0" fontId="3" fillId="0" borderId="0" xfId="0" applyFont="1"/>
    <xf numFmtId="2" fontId="0" fillId="0" borderId="0" xfId="0" applyNumberFormat="1"/>
    <xf numFmtId="166" fontId="0" fillId="0" borderId="0" xfId="0" applyNumberFormat="1"/>
    <xf numFmtId="1" fontId="0" fillId="0" borderId="0" xfId="0" applyNumberFormat="1"/>
    <xf numFmtId="164" fontId="2" fillId="0" borderId="0" xfId="0" applyNumberFormat="1" applyFont="1"/>
    <xf numFmtId="0" fontId="0" fillId="0" borderId="0" xfId="0" applyAlignment="1">
      <alignment horizontal="center"/>
    </xf>
    <xf numFmtId="164" fontId="0" fillId="0" borderId="0" xfId="0" applyNumberFormat="1"/>
    <xf numFmtId="166" fontId="3" fillId="0" borderId="0" xfId="0" applyNumberFormat="1" applyFont="1" applyAlignment="1">
      <alignment horizontal="right"/>
    </xf>
    <xf numFmtId="2" fontId="2" fillId="0" borderId="0" xfId="0" applyNumberFormat="1" applyFont="1"/>
    <xf numFmtId="165" fontId="0" fillId="0" borderId="0" xfId="0" applyNumberFormat="1"/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0" borderId="0" xfId="0" applyFont="1" applyBorder="1"/>
    <xf numFmtId="2" fontId="0" fillId="0" borderId="0" xfId="0" applyNumberFormat="1" applyBorder="1"/>
    <xf numFmtId="0" fontId="0" fillId="0" borderId="6" xfId="0" applyBorder="1"/>
    <xf numFmtId="0" fontId="0" fillId="0" borderId="0" xfId="0" applyAlignment="1">
      <alignment horizontal="right"/>
    </xf>
    <xf numFmtId="0" fontId="2" fillId="0" borderId="1" xfId="0" applyFont="1" applyBorder="1"/>
    <xf numFmtId="165" fontId="3" fillId="0" borderId="0" xfId="0" applyNumberFormat="1" applyFont="1"/>
    <xf numFmtId="1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1" fontId="3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0" fontId="4" fillId="2" borderId="1" xfId="0" applyFont="1" applyFill="1" applyBorder="1"/>
    <xf numFmtId="0" fontId="2" fillId="0" borderId="3" xfId="0" applyFont="1" applyBorder="1"/>
    <xf numFmtId="0" fontId="0" fillId="0" borderId="7" xfId="0" applyBorder="1"/>
    <xf numFmtId="0" fontId="0" fillId="0" borderId="8" xfId="0" applyBorder="1"/>
    <xf numFmtId="0" fontId="2" fillId="0" borderId="5" xfId="0" applyFont="1" applyBorder="1"/>
    <xf numFmtId="165" fontId="2" fillId="0" borderId="8" xfId="0" applyNumberFormat="1" applyFont="1" applyBorder="1"/>
    <xf numFmtId="0" fontId="2" fillId="0" borderId="9" xfId="0" applyFont="1" applyBorder="1"/>
    <xf numFmtId="165" fontId="2" fillId="0" borderId="10" xfId="0" applyNumberFormat="1" applyFont="1" applyBorder="1"/>
    <xf numFmtId="1" fontId="0" fillId="0" borderId="0" xfId="0" applyNumberFormat="1" applyBorder="1"/>
    <xf numFmtId="0" fontId="3" fillId="0" borderId="8" xfId="0" applyFont="1" applyBorder="1"/>
    <xf numFmtId="165" fontId="3" fillId="0" borderId="8" xfId="0" applyNumberFormat="1" applyFont="1" applyBorder="1"/>
    <xf numFmtId="165" fontId="2" fillId="0" borderId="6" xfId="0" applyNumberFormat="1" applyFont="1" applyBorder="1"/>
    <xf numFmtId="0" fontId="0" fillId="0" borderId="10" xfId="0" applyBorder="1"/>
    <xf numFmtId="0" fontId="2" fillId="0" borderId="7" xfId="0" applyFont="1" applyBorder="1"/>
    <xf numFmtId="0" fontId="3" fillId="0" borderId="5" xfId="0" applyFont="1" applyBorder="1"/>
    <xf numFmtId="2" fontId="0" fillId="0" borderId="8" xfId="0" applyNumberFormat="1" applyBorder="1"/>
    <xf numFmtId="1" fontId="0" fillId="0" borderId="8" xfId="0" applyNumberFormat="1" applyBorder="1"/>
    <xf numFmtId="166" fontId="0" fillId="0" borderId="8" xfId="0" applyNumberFormat="1" applyBorder="1"/>
    <xf numFmtId="165" fontId="0" fillId="0" borderId="8" xfId="0" applyNumberFormat="1" applyBorder="1"/>
    <xf numFmtId="2" fontId="0" fillId="0" borderId="5" xfId="0" applyNumberFormat="1" applyBorder="1"/>
    <xf numFmtId="1" fontId="0" fillId="0" borderId="5" xfId="0" applyNumberFormat="1" applyBorder="1"/>
    <xf numFmtId="165" fontId="3" fillId="0" borderId="5" xfId="0" applyNumberFormat="1" applyFont="1" applyBorder="1"/>
    <xf numFmtId="0" fontId="0" fillId="0" borderId="8" xfId="0" applyBorder="1" applyAlignment="1">
      <alignment horizontal="center"/>
    </xf>
    <xf numFmtId="1" fontId="0" fillId="0" borderId="8" xfId="0" applyNumberFormat="1" applyBorder="1" applyAlignment="1">
      <alignment horizontal="center"/>
    </xf>
    <xf numFmtId="164" fontId="0" fillId="0" borderId="8" xfId="0" applyNumberFormat="1" applyBorder="1"/>
    <xf numFmtId="1" fontId="3" fillId="0" borderId="8" xfId="0" applyNumberFormat="1" applyFont="1" applyBorder="1" applyAlignment="1">
      <alignment horizontal="center"/>
    </xf>
    <xf numFmtId="165" fontId="3" fillId="0" borderId="8" xfId="0" applyNumberFormat="1" applyFont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0" fontId="0" fillId="0" borderId="11" xfId="0" applyBorder="1"/>
    <xf numFmtId="0" fontId="0" fillId="0" borderId="12" xfId="0" applyBorder="1" applyAlignment="1">
      <alignment horizontal="center"/>
    </xf>
    <xf numFmtId="1" fontId="0" fillId="0" borderId="12" xfId="0" applyNumberFormat="1" applyBorder="1" applyAlignment="1">
      <alignment horizontal="center"/>
    </xf>
    <xf numFmtId="164" fontId="0" fillId="0" borderId="13" xfId="0" applyNumberFormat="1" applyBorder="1"/>
    <xf numFmtId="166" fontId="3" fillId="0" borderId="11" xfId="0" applyNumberFormat="1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165" fontId="3" fillId="0" borderId="12" xfId="0" applyNumberFormat="1" applyFont="1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9" xfId="0" applyFont="1" applyBorder="1"/>
    <xf numFmtId="164" fontId="0" fillId="0" borderId="10" xfId="0" applyNumberFormat="1" applyBorder="1"/>
    <xf numFmtId="0" fontId="3" fillId="0" borderId="3" xfId="0" applyFont="1" applyBorder="1"/>
    <xf numFmtId="166" fontId="3" fillId="0" borderId="7" xfId="0" applyNumberFormat="1" applyFont="1" applyBorder="1" applyAlignment="1">
      <alignment horizontal="right"/>
    </xf>
    <xf numFmtId="166" fontId="3" fillId="0" borderId="7" xfId="0" applyNumberFormat="1" applyFont="1" applyBorder="1" applyAlignment="1">
      <alignment horizontal="center"/>
    </xf>
    <xf numFmtId="164" fontId="2" fillId="0" borderId="8" xfId="0" applyNumberFormat="1" applyFont="1" applyBorder="1"/>
    <xf numFmtId="0" fontId="2" fillId="0" borderId="4" xfId="0" applyFont="1" applyBorder="1"/>
    <xf numFmtId="0" fontId="2" fillId="0" borderId="11" xfId="0" applyFont="1" applyBorder="1"/>
    <xf numFmtId="0" fontId="3" fillId="0" borderId="12" xfId="0" applyFont="1" applyBorder="1"/>
    <xf numFmtId="0" fontId="2" fillId="0" borderId="12" xfId="0" applyFont="1" applyBorder="1"/>
    <xf numFmtId="0" fontId="2" fillId="0" borderId="13" xfId="0" applyFont="1" applyBorder="1"/>
    <xf numFmtId="0" fontId="0" fillId="0" borderId="12" xfId="0" applyBorder="1"/>
    <xf numFmtId="2" fontId="2" fillId="0" borderId="12" xfId="0" applyNumberFormat="1" applyFont="1" applyBorder="1"/>
    <xf numFmtId="0" fontId="4" fillId="2" borderId="12" xfId="0" applyFont="1" applyFill="1" applyBorder="1"/>
    <xf numFmtId="165" fontId="0" fillId="0" borderId="12" xfId="0" applyNumberFormat="1" applyBorder="1"/>
    <xf numFmtId="165" fontId="2" fillId="0" borderId="12" xfId="0" applyNumberFormat="1" applyFont="1" applyBorder="1"/>
    <xf numFmtId="0" fontId="1" fillId="0" borderId="12" xfId="0" applyFont="1" applyFill="1" applyBorder="1"/>
    <xf numFmtId="2" fontId="0" fillId="0" borderId="12" xfId="0" applyNumberFormat="1" applyBorder="1"/>
    <xf numFmtId="164" fontId="2" fillId="0" borderId="12" xfId="0" applyNumberFormat="1" applyFont="1" applyBorder="1"/>
    <xf numFmtId="1" fontId="0" fillId="0" borderId="12" xfId="0" applyNumberFormat="1" applyBorder="1"/>
    <xf numFmtId="165" fontId="2" fillId="0" borderId="13" xfId="0" applyNumberFormat="1" applyFont="1" applyBorder="1"/>
    <xf numFmtId="0" fontId="0" fillId="0" borderId="11" xfId="0" applyBorder="1" applyAlignment="1">
      <alignment horizontal="center"/>
    </xf>
    <xf numFmtId="2" fontId="2" fillId="0" borderId="8" xfId="0" applyNumberFormat="1" applyFont="1" applyBorder="1"/>
    <xf numFmtId="164" fontId="2" fillId="0" borderId="13" xfId="0" applyNumberFormat="1" applyFont="1" applyBorder="1"/>
    <xf numFmtId="164" fontId="0" fillId="0" borderId="12" xfId="0" applyNumberFormat="1" applyBorder="1"/>
    <xf numFmtId="165" fontId="2" fillId="0" borderId="8" xfId="0" applyNumberFormat="1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2" fontId="2" fillId="0" borderId="12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4" fillId="0" borderId="0" xfId="0" applyFont="1" applyFill="1"/>
    <xf numFmtId="166" fontId="0" fillId="0" borderId="0" xfId="0" applyNumberFormat="1" applyBorder="1"/>
    <xf numFmtId="165" fontId="2" fillId="0" borderId="5" xfId="0" applyNumberFormat="1" applyFont="1" applyBorder="1"/>
    <xf numFmtId="165" fontId="2" fillId="0" borderId="9" xfId="0" applyNumberFormat="1" applyFont="1" applyBorder="1"/>
    <xf numFmtId="0" fontId="2" fillId="0" borderId="10" xfId="0" applyFont="1" applyBorder="1"/>
    <xf numFmtId="0" fontId="2" fillId="0" borderId="1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12" xfId="0" applyBorder="1" applyAlignment="1">
      <alignment horizontal="right"/>
    </xf>
    <xf numFmtId="1" fontId="0" fillId="0" borderId="12" xfId="0" applyNumberFormat="1" applyBorder="1" applyAlignment="1">
      <alignment horizontal="right"/>
    </xf>
    <xf numFmtId="164" fontId="2" fillId="0" borderId="12" xfId="0" applyNumberFormat="1" applyFont="1" applyBorder="1" applyAlignment="1">
      <alignment horizontal="right"/>
    </xf>
    <xf numFmtId="166" fontId="3" fillId="0" borderId="12" xfId="0" applyNumberFormat="1" applyFont="1" applyBorder="1" applyAlignment="1">
      <alignment horizontal="right"/>
    </xf>
    <xf numFmtId="1" fontId="3" fillId="0" borderId="12" xfId="0" applyNumberFormat="1" applyFont="1" applyBorder="1" applyAlignment="1">
      <alignment horizontal="right"/>
    </xf>
    <xf numFmtId="165" fontId="2" fillId="0" borderId="13" xfId="0" applyNumberFormat="1" applyFont="1" applyBorder="1" applyAlignment="1">
      <alignment horizontal="right"/>
    </xf>
    <xf numFmtId="0" fontId="0" fillId="0" borderId="11" xfId="0" applyBorder="1" applyAlignment="1">
      <alignment horizontal="right"/>
    </xf>
    <xf numFmtId="1" fontId="3" fillId="0" borderId="12" xfId="0" applyNumberFormat="1" applyFont="1" applyBorder="1"/>
    <xf numFmtId="2" fontId="2" fillId="0" borderId="7" xfId="0" applyNumberFormat="1" applyFont="1" applyBorder="1" applyAlignment="1">
      <alignment horizontal="center"/>
    </xf>
    <xf numFmtId="0" fontId="4" fillId="3" borderId="12" xfId="0" applyFont="1" applyFill="1" applyBorder="1"/>
    <xf numFmtId="0" fontId="2" fillId="0" borderId="10" xfId="0" applyFont="1" applyBorder="1" applyAlignment="1">
      <alignment horizontal="center"/>
    </xf>
    <xf numFmtId="0" fontId="5" fillId="0" borderId="0" xfId="0" applyFont="1" applyFill="1" applyBorder="1"/>
    <xf numFmtId="0" fontId="5" fillId="0" borderId="8" xfId="0" applyFont="1" applyFill="1" applyBorder="1"/>
    <xf numFmtId="2" fontId="5" fillId="0" borderId="8" xfId="0" applyNumberFormat="1" applyFont="1" applyFill="1" applyBorder="1"/>
    <xf numFmtId="2" fontId="5" fillId="0" borderId="0" xfId="0" applyNumberFormat="1" applyFont="1" applyFill="1"/>
    <xf numFmtId="0" fontId="6" fillId="2" borderId="8" xfId="0" applyFont="1" applyFill="1" applyBorder="1"/>
    <xf numFmtId="0" fontId="6" fillId="2" borderId="0" xfId="0" applyFont="1" applyFill="1"/>
    <xf numFmtId="0" fontId="5" fillId="0" borderId="0" xfId="0" applyFont="1" applyFill="1"/>
    <xf numFmtId="164" fontId="2" fillId="0" borderId="10" xfId="0" applyNumberFormat="1" applyFont="1" applyBorder="1"/>
    <xf numFmtId="0" fontId="2" fillId="0" borderId="7" xfId="0" applyFont="1" applyBorder="1" applyAlignment="1">
      <alignment horizontal="center"/>
    </xf>
    <xf numFmtId="2" fontId="2" fillId="0" borderId="8" xfId="0" applyNumberFormat="1" applyFont="1" applyBorder="1" applyAlignment="1">
      <alignment horizontal="center"/>
    </xf>
    <xf numFmtId="2" fontId="0" fillId="0" borderId="12" xfId="0" applyNumberFormat="1" applyBorder="1" applyAlignment="1">
      <alignment horizontal="right"/>
    </xf>
    <xf numFmtId="0" fontId="2" fillId="0" borderId="0" xfId="0" applyFont="1" applyBorder="1" applyAlignment="1">
      <alignment horizontal="center"/>
    </xf>
    <xf numFmtId="165" fontId="2" fillId="0" borderId="11" xfId="0" applyNumberFormat="1" applyFont="1" applyBorder="1"/>
    <xf numFmtId="0" fontId="0" fillId="0" borderId="12" xfId="0" applyFont="1" applyFill="1" applyBorder="1"/>
    <xf numFmtId="0" fontId="0" fillId="0" borderId="12" xfId="0" applyFill="1" applyBorder="1"/>
    <xf numFmtId="0" fontId="2" fillId="0" borderId="8" xfId="0" applyFont="1" applyBorder="1"/>
    <xf numFmtId="0" fontId="3" fillId="0" borderId="12" xfId="0" applyFont="1" applyFill="1" applyBorder="1"/>
    <xf numFmtId="0" fontId="0" fillId="0" borderId="13" xfId="0" applyFont="1" applyFill="1" applyBorder="1"/>
    <xf numFmtId="0" fontId="0" fillId="0" borderId="13" xfId="0" applyFill="1" applyBorder="1"/>
    <xf numFmtId="165" fontId="2" fillId="0" borderId="0" xfId="0" applyNumberFormat="1" applyFont="1" applyBorder="1"/>
    <xf numFmtId="164" fontId="2" fillId="0" borderId="0" xfId="0" applyNumberFormat="1" applyFont="1" applyBorder="1"/>
    <xf numFmtId="0" fontId="6" fillId="0" borderId="12" xfId="0" applyFont="1" applyFill="1" applyBorder="1"/>
    <xf numFmtId="0" fontId="4" fillId="0" borderId="12" xfId="0" applyFont="1" applyFill="1" applyBorder="1"/>
    <xf numFmtId="0" fontId="7" fillId="0" borderId="8" xfId="0" applyFont="1" applyFill="1" applyBorder="1"/>
    <xf numFmtId="2" fontId="7" fillId="0" borderId="8" xfId="0" applyNumberFormat="1" applyFont="1" applyFill="1" applyBorder="1"/>
    <xf numFmtId="1" fontId="0" fillId="0" borderId="12" xfId="0" applyNumberFormat="1" applyFill="1" applyBorder="1"/>
    <xf numFmtId="165" fontId="3" fillId="0" borderId="0" xfId="0" applyNumberFormat="1" applyFont="1" applyBorder="1"/>
    <xf numFmtId="0" fontId="3" fillId="0" borderId="0" xfId="0" applyFont="1" applyFill="1"/>
    <xf numFmtId="2" fontId="3" fillId="0" borderId="0" xfId="0" applyNumberFormat="1" applyFont="1" applyFill="1"/>
    <xf numFmtId="0" fontId="3" fillId="0" borderId="0" xfId="0" applyFont="1" applyFill="1" applyBorder="1"/>
    <xf numFmtId="0" fontId="3" fillId="0" borderId="8" xfId="0" applyFont="1" applyFill="1" applyBorder="1"/>
    <xf numFmtId="0" fontId="7" fillId="0" borderId="12" xfId="0" applyFont="1" applyFill="1" applyBorder="1"/>
    <xf numFmtId="2" fontId="7" fillId="0" borderId="0" xfId="0" applyNumberFormat="1" applyFont="1" applyFill="1"/>
    <xf numFmtId="2" fontId="7" fillId="0" borderId="12" xfId="0" applyNumberFormat="1" applyFont="1" applyFill="1" applyBorder="1"/>
    <xf numFmtId="0" fontId="7" fillId="0" borderId="0" xfId="0" applyFont="1" applyFill="1"/>
    <xf numFmtId="2" fontId="7" fillId="0" borderId="0" xfId="0" applyNumberFormat="1" applyFont="1" applyFill="1" applyBorder="1"/>
    <xf numFmtId="0" fontId="7" fillId="3" borderId="0" xfId="0" applyFont="1" applyFill="1"/>
    <xf numFmtId="0" fontId="3" fillId="0" borderId="11" xfId="0" applyFont="1" applyBorder="1" applyAlignment="1">
      <alignment horizontal="center"/>
    </xf>
    <xf numFmtId="2" fontId="3" fillId="0" borderId="5" xfId="0" applyNumberFormat="1" applyFont="1" applyFill="1" applyBorder="1"/>
    <xf numFmtId="0" fontId="9" fillId="0" borderId="0" xfId="0" applyFont="1"/>
    <xf numFmtId="0" fontId="7" fillId="0" borderId="0" xfId="0" applyFont="1" applyFill="1" applyBorder="1"/>
    <xf numFmtId="0" fontId="10" fillId="0" borderId="0" xfId="0" applyFont="1"/>
    <xf numFmtId="0" fontId="12" fillId="0" borderId="0" xfId="0" applyFont="1"/>
    <xf numFmtId="0" fontId="12" fillId="0" borderId="0" xfId="0" applyFont="1" applyFill="1" applyBorder="1"/>
    <xf numFmtId="2" fontId="12" fillId="0" borderId="0" xfId="0" applyNumberFormat="1" applyFont="1" applyFill="1" applyBorder="1"/>
    <xf numFmtId="2" fontId="13" fillId="0" borderId="0" xfId="0" applyNumberFormat="1" applyFont="1" applyFill="1" applyBorder="1" applyAlignment="1">
      <alignment horizontal="center"/>
    </xf>
    <xf numFmtId="165" fontId="13" fillId="0" borderId="0" xfId="0" applyNumberFormat="1" applyFont="1" applyFill="1" applyBorder="1" applyAlignment="1">
      <alignment horizontal="center"/>
    </xf>
    <xf numFmtId="2" fontId="14" fillId="0" borderId="0" xfId="0" applyNumberFormat="1" applyFont="1" applyFill="1" applyBorder="1" applyAlignment="1">
      <alignment horizontal="center"/>
    </xf>
    <xf numFmtId="164" fontId="12" fillId="0" borderId="0" xfId="0" applyNumberFormat="1" applyFont="1" applyFill="1" applyBorder="1"/>
    <xf numFmtId="2" fontId="15" fillId="0" borderId="0" xfId="0" applyNumberFormat="1" applyFont="1" applyFill="1" applyBorder="1"/>
    <xf numFmtId="2" fontId="12" fillId="0" borderId="0" xfId="0" applyNumberFormat="1" applyFont="1" applyFill="1"/>
    <xf numFmtId="0" fontId="12" fillId="0" borderId="0" xfId="0" applyFont="1" applyFill="1"/>
    <xf numFmtId="2" fontId="12" fillId="0" borderId="0" xfId="0" applyNumberFormat="1" applyFont="1"/>
    <xf numFmtId="0" fontId="13" fillId="0" borderId="0" xfId="0" applyFont="1" applyFill="1" applyBorder="1" applyAlignment="1">
      <alignment vertical="center"/>
    </xf>
    <xf numFmtId="0" fontId="12" fillId="0" borderId="0" xfId="0" applyFont="1" applyBorder="1"/>
    <xf numFmtId="1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center"/>
    </xf>
    <xf numFmtId="2" fontId="18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2" fontId="12" fillId="0" borderId="0" xfId="0" applyNumberFormat="1" applyFont="1" applyBorder="1" applyAlignment="1">
      <alignment horizontal="center"/>
    </xf>
    <xf numFmtId="0" fontId="10" fillId="0" borderId="0" xfId="0" applyFont="1" applyBorder="1"/>
    <xf numFmtId="2" fontId="10" fillId="0" borderId="0" xfId="0" applyNumberFormat="1" applyFont="1"/>
    <xf numFmtId="0" fontId="17" fillId="0" borderId="0" xfId="0" applyFont="1" applyAlignment="1">
      <alignment horizontal="left"/>
    </xf>
    <xf numFmtId="0" fontId="17" fillId="0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2" fontId="20" fillId="0" borderId="1" xfId="0" applyNumberFormat="1" applyFont="1" applyBorder="1" applyAlignment="1">
      <alignment horizontal="center"/>
    </xf>
    <xf numFmtId="2" fontId="22" fillId="0" borderId="1" xfId="0" applyNumberFormat="1" applyFont="1" applyBorder="1" applyAlignment="1">
      <alignment horizontal="center"/>
    </xf>
    <xf numFmtId="2" fontId="21" fillId="0" borderId="14" xfId="0" applyNumberFormat="1" applyFont="1" applyFill="1" applyBorder="1" applyAlignment="1">
      <alignment horizontal="center"/>
    </xf>
    <xf numFmtId="0" fontId="24" fillId="0" borderId="0" xfId="0" applyFont="1" applyBorder="1" applyAlignment="1">
      <alignment horizontal="left"/>
    </xf>
    <xf numFmtId="168" fontId="25" fillId="0" borderId="0" xfId="0" applyNumberFormat="1" applyFont="1" applyBorder="1" applyAlignment="1"/>
    <xf numFmtId="168" fontId="24" fillId="0" borderId="0" xfId="0" applyNumberFormat="1" applyFont="1" applyBorder="1" applyAlignment="1"/>
    <xf numFmtId="0" fontId="24" fillId="0" borderId="0" xfId="0" applyFont="1" applyBorder="1" applyAlignment="1"/>
    <xf numFmtId="2" fontId="25" fillId="0" borderId="0" xfId="0" applyNumberFormat="1" applyFont="1" applyBorder="1" applyAlignment="1">
      <alignment horizontal="center"/>
    </xf>
    <xf numFmtId="2" fontId="25" fillId="0" borderId="0" xfId="0" applyNumberFormat="1" applyFont="1" applyFill="1" applyBorder="1" applyAlignment="1">
      <alignment horizontal="center"/>
    </xf>
    <xf numFmtId="0" fontId="24" fillId="0" borderId="6" xfId="0" applyFont="1" applyBorder="1" applyAlignment="1"/>
    <xf numFmtId="0" fontId="24" fillId="0" borderId="11" xfId="0" applyFont="1" applyFill="1" applyBorder="1" applyAlignment="1">
      <alignment horizontal="center"/>
    </xf>
    <xf numFmtId="2" fontId="26" fillId="0" borderId="11" xfId="0" applyNumberFormat="1" applyFont="1" applyFill="1" applyBorder="1" applyAlignment="1">
      <alignment horizontal="center" vertical="center"/>
    </xf>
    <xf numFmtId="2" fontId="26" fillId="0" borderId="11" xfId="0" applyNumberFormat="1" applyFont="1" applyFill="1" applyBorder="1" applyAlignment="1">
      <alignment horizontal="center"/>
    </xf>
    <xf numFmtId="2" fontId="27" fillId="0" borderId="11" xfId="0" applyNumberFormat="1" applyFont="1" applyFill="1" applyBorder="1" applyAlignment="1">
      <alignment horizontal="center"/>
    </xf>
    <xf numFmtId="164" fontId="27" fillId="0" borderId="1" xfId="0" applyNumberFormat="1" applyFont="1" applyFill="1" applyBorder="1" applyAlignment="1">
      <alignment horizontal="center"/>
    </xf>
    <xf numFmtId="164" fontId="24" fillId="0" borderId="11" xfId="0" applyNumberFormat="1" applyFont="1" applyFill="1" applyBorder="1" applyAlignment="1">
      <alignment horizontal="center"/>
    </xf>
    <xf numFmtId="0" fontId="24" fillId="0" borderId="7" xfId="0" applyFont="1" applyFill="1" applyBorder="1" applyAlignment="1">
      <alignment horizontal="center"/>
    </xf>
    <xf numFmtId="164" fontId="24" fillId="0" borderId="13" xfId="0" applyNumberFormat="1" applyFont="1" applyFill="1" applyBorder="1" applyAlignment="1">
      <alignment horizontal="center"/>
    </xf>
    <xf numFmtId="0" fontId="24" fillId="0" borderId="13" xfId="0" applyFont="1" applyFill="1" applyBorder="1" applyAlignment="1">
      <alignment horizontal="center"/>
    </xf>
    <xf numFmtId="0" fontId="24" fillId="0" borderId="10" xfId="0" applyFont="1" applyFill="1" applyBorder="1" applyAlignment="1">
      <alignment horizontal="center"/>
    </xf>
    <xf numFmtId="0" fontId="24" fillId="0" borderId="1" xfId="0" applyFont="1" applyFill="1" applyBorder="1" applyAlignment="1">
      <alignment horizontal="center"/>
    </xf>
    <xf numFmtId="167" fontId="27" fillId="0" borderId="1" xfId="0" applyNumberFormat="1" applyFont="1" applyFill="1" applyBorder="1" applyAlignment="1">
      <alignment horizontal="center"/>
    </xf>
    <xf numFmtId="2" fontId="27" fillId="0" borderId="1" xfId="0" applyNumberFormat="1" applyFont="1" applyFill="1" applyBorder="1" applyAlignment="1">
      <alignment horizontal="center"/>
    </xf>
    <xf numFmtId="2" fontId="26" fillId="0" borderId="1" xfId="0" applyNumberFormat="1" applyFont="1" applyFill="1" applyBorder="1" applyAlignment="1">
      <alignment horizontal="center"/>
    </xf>
    <xf numFmtId="2" fontId="27" fillId="0" borderId="2" xfId="0" applyNumberFormat="1" applyFont="1" applyFill="1" applyBorder="1" applyAlignment="1">
      <alignment horizontal="center"/>
    </xf>
    <xf numFmtId="1" fontId="27" fillId="0" borderId="2" xfId="0" applyNumberFormat="1" applyFont="1" applyFill="1" applyBorder="1" applyAlignment="1">
      <alignment horizontal="center"/>
    </xf>
    <xf numFmtId="2" fontId="27" fillId="0" borderId="9" xfId="0" applyNumberFormat="1" applyFont="1" applyFill="1" applyBorder="1" applyAlignment="1">
      <alignment horizontal="center"/>
    </xf>
    <xf numFmtId="165" fontId="27" fillId="0" borderId="1" xfId="0" applyNumberFormat="1" applyFont="1" applyFill="1" applyBorder="1" applyAlignment="1">
      <alignment horizontal="center"/>
    </xf>
    <xf numFmtId="2" fontId="27" fillId="0" borderId="16" xfId="0" applyNumberFormat="1" applyFont="1" applyFill="1" applyBorder="1" applyAlignment="1">
      <alignment horizontal="center"/>
    </xf>
    <xf numFmtId="164" fontId="27" fillId="0" borderId="16" xfId="0" applyNumberFormat="1" applyFont="1" applyFill="1" applyBorder="1" applyAlignment="1">
      <alignment horizontal="center"/>
    </xf>
    <xf numFmtId="2" fontId="26" fillId="0" borderId="16" xfId="0" applyNumberFormat="1" applyFont="1" applyFill="1" applyBorder="1" applyAlignment="1">
      <alignment horizontal="center"/>
    </xf>
    <xf numFmtId="2" fontId="27" fillId="0" borderId="17" xfId="0" applyNumberFormat="1" applyFont="1" applyFill="1" applyBorder="1" applyAlignment="1">
      <alignment horizontal="center"/>
    </xf>
    <xf numFmtId="1" fontId="27" fillId="0" borderId="16" xfId="0" applyNumberFormat="1" applyFont="1" applyFill="1" applyBorder="1" applyAlignment="1">
      <alignment horizontal="center"/>
    </xf>
    <xf numFmtId="165" fontId="27" fillId="0" borderId="16" xfId="0" applyNumberFormat="1" applyFont="1" applyFill="1" applyBorder="1" applyAlignment="1">
      <alignment horizontal="center"/>
    </xf>
    <xf numFmtId="2" fontId="27" fillId="0" borderId="13" xfId="0" applyNumberFormat="1" applyFont="1" applyFill="1" applyBorder="1" applyAlignment="1">
      <alignment horizontal="center"/>
    </xf>
    <xf numFmtId="164" fontId="24" fillId="0" borderId="1" xfId="0" applyNumberFormat="1" applyFont="1" applyFill="1" applyBorder="1" applyAlignment="1">
      <alignment horizontal="center"/>
    </xf>
    <xf numFmtId="2" fontId="26" fillId="0" borderId="13" xfId="0" applyNumberFormat="1" applyFont="1" applyFill="1" applyBorder="1" applyAlignment="1">
      <alignment horizontal="center"/>
    </xf>
    <xf numFmtId="2" fontId="28" fillId="5" borderId="13" xfId="0" applyNumberFormat="1" applyFont="1" applyFill="1" applyBorder="1" applyAlignment="1">
      <alignment horizontal="center"/>
    </xf>
    <xf numFmtId="165" fontId="27" fillId="0" borderId="13" xfId="0" applyNumberFormat="1" applyFont="1" applyFill="1" applyBorder="1" applyAlignment="1">
      <alignment horizontal="center"/>
    </xf>
    <xf numFmtId="2" fontId="26" fillId="0" borderId="14" xfId="0" applyNumberFormat="1" applyFont="1" applyFill="1" applyBorder="1" applyAlignment="1">
      <alignment horizontal="center"/>
    </xf>
    <xf numFmtId="164" fontId="26" fillId="0" borderId="1" xfId="0" applyNumberFormat="1" applyFont="1" applyFill="1" applyBorder="1" applyAlignment="1">
      <alignment horizontal="center"/>
    </xf>
    <xf numFmtId="164" fontId="26" fillId="5" borderId="1" xfId="0" applyNumberFormat="1" applyFont="1" applyFill="1" applyBorder="1" applyAlignment="1">
      <alignment horizontal="center"/>
    </xf>
    <xf numFmtId="165" fontId="25" fillId="5" borderId="1" xfId="0" applyNumberFormat="1" applyFont="1" applyFill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24" fillId="0" borderId="13" xfId="0" applyFont="1" applyBorder="1" applyAlignment="1">
      <alignment horizontal="center"/>
    </xf>
    <xf numFmtId="1" fontId="26" fillId="0" borderId="1" xfId="0" applyNumberFormat="1" applyFont="1" applyFill="1" applyBorder="1" applyAlignment="1">
      <alignment horizontal="center"/>
    </xf>
    <xf numFmtId="0" fontId="26" fillId="0" borderId="1" xfId="0" applyFont="1" applyBorder="1" applyAlignment="1">
      <alignment horizontal="center"/>
    </xf>
    <xf numFmtId="167" fontId="26" fillId="0" borderId="1" xfId="0" applyNumberFormat="1" applyFont="1" applyFill="1" applyBorder="1" applyAlignment="1">
      <alignment horizontal="center"/>
    </xf>
    <xf numFmtId="2" fontId="26" fillId="0" borderId="1" xfId="0" applyNumberFormat="1" applyFont="1" applyBorder="1" applyAlignment="1">
      <alignment horizontal="center"/>
    </xf>
    <xf numFmtId="0" fontId="24" fillId="4" borderId="1" xfId="0" applyFont="1" applyFill="1" applyBorder="1" applyAlignment="1">
      <alignment horizontal="center"/>
    </xf>
    <xf numFmtId="1" fontId="25" fillId="4" borderId="1" xfId="0" applyNumberFormat="1" applyFont="1" applyFill="1" applyBorder="1" applyAlignment="1">
      <alignment horizontal="center"/>
    </xf>
    <xf numFmtId="167" fontId="25" fillId="4" borderId="1" xfId="0" applyNumberFormat="1" applyFont="1" applyFill="1" applyBorder="1" applyAlignment="1">
      <alignment horizontal="center"/>
    </xf>
    <xf numFmtId="2" fontId="25" fillId="4" borderId="1" xfId="0" applyNumberFormat="1" applyFont="1" applyFill="1" applyBorder="1" applyAlignment="1">
      <alignment horizontal="center"/>
    </xf>
    <xf numFmtId="0" fontId="26" fillId="0" borderId="0" xfId="0" applyFont="1"/>
    <xf numFmtId="164" fontId="25" fillId="4" borderId="1" xfId="0" applyNumberFormat="1" applyFont="1" applyFill="1" applyBorder="1" applyAlignment="1">
      <alignment horizontal="center"/>
    </xf>
    <xf numFmtId="0" fontId="30" fillId="0" borderId="6" xfId="0" applyFont="1" applyBorder="1" applyAlignment="1"/>
    <xf numFmtId="168" fontId="31" fillId="0" borderId="6" xfId="0" applyNumberFormat="1" applyFont="1" applyBorder="1" applyAlignment="1">
      <alignment horizontal="left"/>
    </xf>
    <xf numFmtId="0" fontId="30" fillId="0" borderId="0" xfId="0" applyFont="1" applyFill="1" applyBorder="1" applyAlignment="1">
      <alignment horizontal="center" vertical="center"/>
    </xf>
    <xf numFmtId="2" fontId="30" fillId="0" borderId="0" xfId="0" applyNumberFormat="1" applyFont="1" applyFill="1" applyBorder="1" applyAlignment="1">
      <alignment horizontal="center"/>
    </xf>
    <xf numFmtId="0" fontId="30" fillId="0" borderId="1" xfId="0" applyFont="1" applyBorder="1" applyAlignment="1">
      <alignment horizontal="center"/>
    </xf>
    <xf numFmtId="2" fontId="30" fillId="0" borderId="1" xfId="0" applyNumberFormat="1" applyFont="1" applyBorder="1" applyAlignment="1">
      <alignment horizontal="center"/>
    </xf>
    <xf numFmtId="2" fontId="30" fillId="0" borderId="1" xfId="0" quotePrefix="1" applyNumberFormat="1" applyFont="1" applyBorder="1" applyAlignment="1">
      <alignment horizontal="center"/>
    </xf>
    <xf numFmtId="165" fontId="31" fillId="0" borderId="1" xfId="0" applyNumberFormat="1" applyFont="1" applyFill="1" applyBorder="1" applyAlignment="1">
      <alignment horizontal="center"/>
    </xf>
    <xf numFmtId="0" fontId="30" fillId="0" borderId="13" xfId="0" applyFont="1" applyBorder="1" applyAlignment="1">
      <alignment horizontal="center"/>
    </xf>
    <xf numFmtId="0" fontId="30" fillId="0" borderId="13" xfId="0" quotePrefix="1" applyFont="1" applyBorder="1" applyAlignment="1">
      <alignment horizontal="center"/>
    </xf>
    <xf numFmtId="2" fontId="30" fillId="0" borderId="10" xfId="0" applyNumberFormat="1" applyFont="1" applyFill="1" applyBorder="1" applyAlignment="1">
      <alignment horizontal="center"/>
    </xf>
    <xf numFmtId="2" fontId="30" fillId="0" borderId="13" xfId="0" quotePrefix="1" applyNumberFormat="1" applyFont="1" applyFill="1" applyBorder="1" applyAlignment="1">
      <alignment horizontal="center"/>
    </xf>
    <xf numFmtId="2" fontId="30" fillId="0" borderId="13" xfId="0" applyNumberFormat="1" applyFont="1" applyFill="1" applyBorder="1" applyAlignment="1">
      <alignment horizontal="center"/>
    </xf>
    <xf numFmtId="2" fontId="30" fillId="0" borderId="6" xfId="0" applyNumberFormat="1" applyFont="1" applyFill="1" applyBorder="1" applyAlignment="1">
      <alignment horizontal="center"/>
    </xf>
    <xf numFmtId="2" fontId="30" fillId="0" borderId="1" xfId="0" applyNumberFormat="1" applyFont="1" applyFill="1" applyBorder="1" applyAlignment="1">
      <alignment horizontal="center"/>
    </xf>
    <xf numFmtId="0" fontId="30" fillId="0" borderId="0" xfId="0" applyFont="1"/>
    <xf numFmtId="0" fontId="30" fillId="0" borderId="1" xfId="0" applyFont="1" applyFill="1" applyBorder="1" applyAlignment="1">
      <alignment horizontal="center"/>
    </xf>
    <xf numFmtId="0" fontId="30" fillId="0" borderId="14" xfId="0" applyFont="1" applyFill="1" applyBorder="1" applyAlignment="1"/>
    <xf numFmtId="0" fontId="30" fillId="0" borderId="14" xfId="0" applyFont="1" applyFill="1" applyBorder="1" applyAlignment="1">
      <alignment horizontal="center"/>
    </xf>
    <xf numFmtId="2" fontId="31" fillId="0" borderId="14" xfId="0" applyNumberFormat="1" applyFont="1" applyFill="1" applyBorder="1" applyAlignment="1">
      <alignment horizontal="center"/>
    </xf>
    <xf numFmtId="164" fontId="31" fillId="0" borderId="1" xfId="0" applyNumberFormat="1" applyFont="1" applyFill="1" applyBorder="1" applyAlignment="1">
      <alignment horizontal="center"/>
    </xf>
    <xf numFmtId="0" fontId="30" fillId="0" borderId="11" xfId="0" applyFont="1" applyFill="1" applyBorder="1" applyAlignment="1">
      <alignment horizontal="center"/>
    </xf>
    <xf numFmtId="0" fontId="30" fillId="0" borderId="13" xfId="0" applyFont="1" applyFill="1" applyBorder="1" applyAlignment="1">
      <alignment horizontal="center"/>
    </xf>
    <xf numFmtId="2" fontId="33" fillId="0" borderId="1" xfId="0" applyNumberFormat="1" applyFont="1" applyFill="1" applyBorder="1" applyAlignment="1">
      <alignment horizontal="center"/>
    </xf>
    <xf numFmtId="0" fontId="26" fillId="0" borderId="1" xfId="0" applyFont="1" applyFill="1" applyBorder="1" applyAlignment="1">
      <alignment horizontal="center"/>
    </xf>
    <xf numFmtId="1" fontId="26" fillId="0" borderId="1" xfId="0" applyNumberFormat="1" applyFont="1" applyBorder="1" applyAlignment="1">
      <alignment horizontal="center"/>
    </xf>
    <xf numFmtId="0" fontId="24" fillId="0" borderId="1" xfId="0" applyFont="1" applyFill="1" applyBorder="1" applyAlignment="1">
      <alignment horizontal="left"/>
    </xf>
    <xf numFmtId="0" fontId="25" fillId="0" borderId="1" xfId="0" applyFont="1" applyBorder="1" applyAlignment="1">
      <alignment horizontal="center"/>
    </xf>
    <xf numFmtId="2" fontId="28" fillId="0" borderId="1" xfId="0" applyNumberFormat="1" applyFont="1" applyBorder="1" applyAlignment="1">
      <alignment horizontal="center"/>
    </xf>
    <xf numFmtId="1" fontId="24" fillId="0" borderId="1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0" fontId="24" fillId="0" borderId="1" xfId="0" applyFont="1" applyBorder="1" applyAlignment="1">
      <alignment horizontal="left" vertical="center"/>
    </xf>
    <xf numFmtId="164" fontId="23" fillId="0" borderId="2" xfId="0" applyNumberFormat="1" applyFont="1" applyFill="1" applyBorder="1" applyAlignment="1">
      <alignment horizontal="center" vertical="center"/>
    </xf>
    <xf numFmtId="164" fontId="23" fillId="0" borderId="15" xfId="0" applyNumberFormat="1" applyFont="1" applyFill="1" applyBorder="1" applyAlignment="1">
      <alignment horizontal="center" vertical="center"/>
    </xf>
    <xf numFmtId="164" fontId="23" fillId="0" borderId="14" xfId="0" applyNumberFormat="1" applyFont="1" applyFill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30" fillId="0" borderId="1" xfId="0" applyFont="1" applyFill="1" applyBorder="1" applyAlignment="1">
      <alignment horizontal="center" vertical="center"/>
    </xf>
    <xf numFmtId="0" fontId="32" fillId="0" borderId="2" xfId="0" applyFont="1" applyFill="1" applyBorder="1" applyAlignment="1">
      <alignment horizontal="center"/>
    </xf>
    <xf numFmtId="0" fontId="32" fillId="0" borderId="15" xfId="0" applyFont="1" applyFill="1" applyBorder="1" applyAlignment="1">
      <alignment horizontal="center"/>
    </xf>
    <xf numFmtId="0" fontId="32" fillId="0" borderId="14" xfId="0" applyFont="1" applyFill="1" applyBorder="1" applyAlignment="1">
      <alignment horizontal="center"/>
    </xf>
    <xf numFmtId="14" fontId="31" fillId="0" borderId="6" xfId="0" applyNumberFormat="1" applyFont="1" applyBorder="1" applyAlignment="1">
      <alignment horizontal="left"/>
    </xf>
    <xf numFmtId="164" fontId="29" fillId="0" borderId="2" xfId="0" applyNumberFormat="1" applyFont="1" applyFill="1" applyBorder="1" applyAlignment="1">
      <alignment horizontal="center" vertical="center"/>
    </xf>
    <xf numFmtId="164" fontId="29" fillId="0" borderId="15" xfId="0" applyNumberFormat="1" applyFont="1" applyFill="1" applyBorder="1" applyAlignment="1">
      <alignment horizontal="center" vertical="center"/>
    </xf>
    <xf numFmtId="164" fontId="29" fillId="0" borderId="14" xfId="0" applyNumberFormat="1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left"/>
    </xf>
    <xf numFmtId="0" fontId="24" fillId="0" borderId="15" xfId="0" applyFont="1" applyFill="1" applyBorder="1" applyAlignment="1">
      <alignment horizontal="left"/>
    </xf>
    <xf numFmtId="0" fontId="24" fillId="0" borderId="14" xfId="0" applyFont="1" applyFill="1" applyBorder="1" applyAlignment="1">
      <alignment horizontal="left"/>
    </xf>
    <xf numFmtId="0" fontId="24" fillId="0" borderId="2" xfId="0" applyFont="1" applyFill="1" applyBorder="1" applyAlignment="1">
      <alignment horizontal="center"/>
    </xf>
    <xf numFmtId="0" fontId="26" fillId="0" borderId="15" xfId="0" applyFont="1" applyBorder="1"/>
    <xf numFmtId="0" fontId="26" fillId="0" borderId="14" xfId="0" applyFont="1" applyBorder="1"/>
    <xf numFmtId="2" fontId="24" fillId="0" borderId="2" xfId="0" applyNumberFormat="1" applyFont="1" applyFill="1" applyBorder="1" applyAlignment="1">
      <alignment horizontal="center"/>
    </xf>
    <xf numFmtId="2" fontId="25" fillId="0" borderId="2" xfId="0" applyNumberFormat="1" applyFont="1" applyFill="1" applyBorder="1" applyAlignment="1">
      <alignment horizontal="center"/>
    </xf>
    <xf numFmtId="0" fontId="27" fillId="0" borderId="15" xfId="0" applyFont="1" applyBorder="1"/>
    <xf numFmtId="0" fontId="27" fillId="0" borderId="14" xfId="0" applyFont="1" applyBorder="1"/>
    <xf numFmtId="0" fontId="24" fillId="5" borderId="2" xfId="0" applyFont="1" applyFill="1" applyBorder="1" applyAlignment="1">
      <alignment horizontal="left"/>
    </xf>
    <xf numFmtId="0" fontId="24" fillId="5" borderId="15" xfId="0" applyFont="1" applyFill="1" applyBorder="1" applyAlignment="1">
      <alignment horizontal="left"/>
    </xf>
    <xf numFmtId="0" fontId="24" fillId="5" borderId="14" xfId="0" applyFont="1" applyFill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65" fontId="25" fillId="0" borderId="11" xfId="0" applyNumberFormat="1" applyFont="1" applyFill="1" applyBorder="1" applyAlignment="1">
      <alignment horizontal="center" vertical="center"/>
    </xf>
    <xf numFmtId="165" fontId="25" fillId="0" borderId="13" xfId="0" applyNumberFormat="1" applyFont="1" applyFill="1" applyBorder="1" applyAlignment="1">
      <alignment horizontal="center" vertical="center"/>
    </xf>
    <xf numFmtId="165" fontId="25" fillId="0" borderId="12" xfId="0" applyNumberFormat="1" applyFont="1" applyFill="1" applyBorder="1" applyAlignment="1">
      <alignment horizontal="center" vertical="center"/>
    </xf>
    <xf numFmtId="0" fontId="24" fillId="0" borderId="11" xfId="0" applyFont="1" applyFill="1" applyBorder="1" applyAlignment="1">
      <alignment horizontal="center" vertical="center"/>
    </xf>
    <xf numFmtId="0" fontId="24" fillId="0" borderId="13" xfId="0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/>
    </xf>
    <xf numFmtId="0" fontId="24" fillId="0" borderId="9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24" fillId="0" borderId="14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 vertical="center"/>
    </xf>
    <xf numFmtId="0" fontId="24" fillId="0" borderId="7" xfId="0" applyFont="1" applyFill="1" applyBorder="1" applyAlignment="1">
      <alignment horizontal="center" vertical="center"/>
    </xf>
    <xf numFmtId="0" fontId="24" fillId="0" borderId="6" xfId="0" applyFont="1" applyFill="1" applyBorder="1" applyAlignment="1">
      <alignment horizontal="center" vertical="center"/>
    </xf>
    <xf numFmtId="0" fontId="24" fillId="0" borderId="10" xfId="0" applyFont="1" applyFill="1" applyBorder="1" applyAlignment="1">
      <alignment horizontal="center" vertical="center"/>
    </xf>
    <xf numFmtId="164" fontId="24" fillId="0" borderId="11" xfId="0" applyNumberFormat="1" applyFont="1" applyFill="1" applyBorder="1" applyAlignment="1">
      <alignment horizontal="center" vertical="center"/>
    </xf>
    <xf numFmtId="164" fontId="24" fillId="0" borderId="13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165" fontId="25" fillId="0" borderId="12" xfId="0" applyNumberFormat="1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5" fillId="0" borderId="20" xfId="0" applyFont="1" applyBorder="1" applyAlignment="1">
      <alignment horizontal="center" vertical="center"/>
    </xf>
    <xf numFmtId="0" fontId="26" fillId="0" borderId="6" xfId="0" applyFont="1" applyBorder="1" applyAlignment="1">
      <alignment horizontal="center"/>
    </xf>
    <xf numFmtId="0" fontId="26" fillId="0" borderId="15" xfId="0" applyFont="1" applyBorder="1" applyAlignment="1">
      <alignment horizontal="center"/>
    </xf>
    <xf numFmtId="0" fontId="24" fillId="0" borderId="15" xfId="0" applyFont="1" applyFill="1" applyBorder="1" applyAlignment="1">
      <alignment horizontal="center"/>
    </xf>
    <xf numFmtId="0" fontId="24" fillId="0" borderId="14" xfId="0" applyFont="1" applyFill="1" applyBorder="1" applyAlignment="1">
      <alignment horizontal="center"/>
    </xf>
    <xf numFmtId="0" fontId="24" fillId="0" borderId="1" xfId="0" applyFont="1" applyFill="1" applyBorder="1" applyAlignment="1">
      <alignment horizontal="center"/>
    </xf>
    <xf numFmtId="0" fontId="24" fillId="0" borderId="17" xfId="0" applyFont="1" applyFill="1" applyBorder="1" applyAlignment="1">
      <alignment horizontal="left"/>
    </xf>
    <xf numFmtId="0" fontId="24" fillId="0" borderId="18" xfId="0" applyFont="1" applyFill="1" applyBorder="1" applyAlignment="1">
      <alignment horizontal="left"/>
    </xf>
    <xf numFmtId="0" fontId="24" fillId="0" borderId="19" xfId="0" applyFont="1" applyFill="1" applyBorder="1" applyAlignment="1">
      <alignment horizontal="left"/>
    </xf>
    <xf numFmtId="0" fontId="24" fillId="0" borderId="9" xfId="0" applyFont="1" applyFill="1" applyBorder="1" applyAlignment="1">
      <alignment horizontal="left"/>
    </xf>
    <xf numFmtId="0" fontId="24" fillId="0" borderId="6" xfId="0" applyFont="1" applyFill="1" applyBorder="1" applyAlignment="1">
      <alignment horizontal="left"/>
    </xf>
    <xf numFmtId="0" fontId="24" fillId="0" borderId="10" xfId="0" applyFont="1" applyFill="1" applyBorder="1" applyAlignment="1">
      <alignment horizontal="left"/>
    </xf>
  </cellXfs>
  <cellStyles count="3">
    <cellStyle name="Normal" xfId="0" builtinId="0"/>
    <cellStyle name="Normal 2" xfId="1"/>
    <cellStyle name="Percent 2" xfId="2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3"/>
  <sheetViews>
    <sheetView topLeftCell="A130" zoomScale="115" zoomScaleNormal="115" workbookViewId="0">
      <selection activeCell="B168" sqref="B168"/>
    </sheetView>
  </sheetViews>
  <sheetFormatPr defaultRowHeight="12.75"/>
  <cols>
    <col min="1" max="1" width="23.140625" customWidth="1"/>
    <col min="2" max="2" width="14.140625" customWidth="1"/>
    <col min="3" max="3" width="9.5703125" bestFit="1" customWidth="1"/>
    <col min="4" max="6" width="9.28515625" bestFit="1" customWidth="1"/>
    <col min="10" max="10" width="9.28515625" bestFit="1" customWidth="1"/>
    <col min="11" max="11" width="9.7109375" bestFit="1" customWidth="1"/>
    <col min="12" max="12" width="9.42578125" bestFit="1" customWidth="1"/>
    <col min="13" max="13" width="9.85546875" bestFit="1" customWidth="1"/>
  </cols>
  <sheetData>
    <row r="1" spans="1:13">
      <c r="A1" s="6" t="s">
        <v>142</v>
      </c>
    </row>
    <row r="2" spans="1:13">
      <c r="A2" s="269" t="s">
        <v>103</v>
      </c>
      <c r="B2" s="270"/>
      <c r="C2" s="270"/>
      <c r="D2" s="270"/>
      <c r="E2" s="270"/>
      <c r="F2" s="271"/>
      <c r="G2" s="3"/>
      <c r="H2" s="3"/>
    </row>
    <row r="3" spans="1:13">
      <c r="A3" s="28" t="s">
        <v>213</v>
      </c>
      <c r="B3" s="1"/>
      <c r="C3" s="1" t="s">
        <v>0</v>
      </c>
      <c r="D3" s="1"/>
      <c r="E3" s="2" t="s">
        <v>1</v>
      </c>
      <c r="F3" s="1"/>
      <c r="G3" s="3"/>
      <c r="H3" s="28" t="s">
        <v>210</v>
      </c>
      <c r="I3" s="1"/>
      <c r="J3" s="1" t="s">
        <v>0</v>
      </c>
      <c r="K3" s="1"/>
      <c r="L3" s="2" t="s">
        <v>1</v>
      </c>
      <c r="M3" s="1"/>
    </row>
    <row r="4" spans="1:13">
      <c r="A4" s="1"/>
      <c r="B4" s="1" t="s">
        <v>2</v>
      </c>
      <c r="C4" s="1"/>
      <c r="D4" s="1">
        <v>100</v>
      </c>
      <c r="E4" s="4">
        <f t="shared" ref="E4:E10" si="0">D4/$D$10</f>
        <v>1.0689455997238206</v>
      </c>
      <c r="F4" s="1"/>
      <c r="G4" s="3"/>
      <c r="H4" s="1"/>
      <c r="I4" s="1" t="s">
        <v>2</v>
      </c>
      <c r="J4" s="1"/>
      <c r="K4" s="1">
        <v>100</v>
      </c>
      <c r="L4" s="4">
        <f>K4/$K$11</f>
        <v>1.4026238543163232</v>
      </c>
      <c r="M4" s="1"/>
    </row>
    <row r="5" spans="1:13">
      <c r="A5" s="1"/>
      <c r="B5" s="1" t="s">
        <v>3</v>
      </c>
      <c r="C5" s="1">
        <v>0.3</v>
      </c>
      <c r="D5" s="1">
        <f>D4-C5</f>
        <v>99.7</v>
      </c>
      <c r="E5" s="4">
        <f t="shared" si="0"/>
        <v>1.0657387629246491</v>
      </c>
      <c r="F5" s="1"/>
      <c r="G5" s="3"/>
      <c r="H5" s="1"/>
      <c r="I5" s="1" t="s">
        <v>3</v>
      </c>
      <c r="J5" s="1">
        <v>5</v>
      </c>
      <c r="K5" s="1">
        <f>K4-J5</f>
        <v>95</v>
      </c>
      <c r="L5" s="4">
        <f t="shared" ref="L5:L11" si="1">K5/$K$11</f>
        <v>1.3324926616005071</v>
      </c>
      <c r="M5" s="1"/>
    </row>
    <row r="6" spans="1:13">
      <c r="A6" s="1"/>
      <c r="B6" s="1" t="s">
        <v>4</v>
      </c>
      <c r="C6" s="1">
        <v>2.5</v>
      </c>
      <c r="D6" s="5">
        <f>D5-D5*(C6/100)</f>
        <v>97.207499999999996</v>
      </c>
      <c r="E6" s="4">
        <f t="shared" si="0"/>
        <v>1.039095293851533</v>
      </c>
      <c r="F6" s="1"/>
      <c r="G6" s="3"/>
      <c r="H6" s="1"/>
      <c r="I6" s="1" t="s">
        <v>4</v>
      </c>
      <c r="J6" s="1">
        <v>9</v>
      </c>
      <c r="K6" s="5">
        <f t="shared" ref="K6:K11" si="2">K5-K5*(J6/100)</f>
        <v>86.45</v>
      </c>
      <c r="L6" s="4">
        <f t="shared" si="1"/>
        <v>1.2125683220564614</v>
      </c>
      <c r="M6" s="1"/>
    </row>
    <row r="7" spans="1:13">
      <c r="A7" s="1"/>
      <c r="B7" s="1" t="s">
        <v>5</v>
      </c>
      <c r="C7" s="1">
        <v>0.5</v>
      </c>
      <c r="D7" s="5">
        <f>D6-D6*(C7/100)</f>
        <v>96.721462500000001</v>
      </c>
      <c r="E7" s="4">
        <f t="shared" si="0"/>
        <v>1.0338998173822753</v>
      </c>
      <c r="F7" s="1"/>
      <c r="G7" s="3"/>
      <c r="H7" s="1"/>
      <c r="I7" s="1" t="s">
        <v>143</v>
      </c>
      <c r="J7" s="1">
        <v>15</v>
      </c>
      <c r="K7" s="5">
        <f t="shared" si="2"/>
        <v>73.482500000000002</v>
      </c>
      <c r="L7" s="4">
        <f t="shared" si="1"/>
        <v>1.0306830737479922</v>
      </c>
      <c r="M7" s="1"/>
    </row>
    <row r="8" spans="1:13">
      <c r="A8" s="1"/>
      <c r="B8" s="1" t="s">
        <v>6</v>
      </c>
      <c r="C8" s="1">
        <v>0.2</v>
      </c>
      <c r="D8" s="5">
        <f>D7-D7*(C8/100)</f>
        <v>96.528019575000002</v>
      </c>
      <c r="E8" s="4">
        <f t="shared" si="0"/>
        <v>1.0318320177475107</v>
      </c>
      <c r="F8" s="1"/>
      <c r="G8" s="3"/>
      <c r="H8" s="1"/>
      <c r="I8" s="1" t="s">
        <v>5</v>
      </c>
      <c r="J8" s="1">
        <v>0.5</v>
      </c>
      <c r="K8" s="5">
        <f t="shared" si="2"/>
        <v>73.115087500000001</v>
      </c>
      <c r="L8" s="4">
        <f t="shared" si="1"/>
        <v>1.0255296583792521</v>
      </c>
      <c r="M8" s="1"/>
    </row>
    <row r="9" spans="1:13">
      <c r="A9" s="1"/>
      <c r="B9" s="1" t="s">
        <v>7</v>
      </c>
      <c r="C9" s="1">
        <v>2.5</v>
      </c>
      <c r="D9" s="5">
        <f>D8-D8*(C9/100)</f>
        <v>94.114819085625001</v>
      </c>
      <c r="E9" s="4">
        <f t="shared" si="0"/>
        <v>1.0060362173038229</v>
      </c>
      <c r="F9" s="1"/>
      <c r="G9" s="3"/>
      <c r="H9" s="1"/>
      <c r="I9" s="1" t="s">
        <v>6</v>
      </c>
      <c r="J9" s="1">
        <v>0.2</v>
      </c>
      <c r="K9" s="5">
        <f t="shared" si="2"/>
        <v>72.968857325000002</v>
      </c>
      <c r="L9" s="4">
        <f t="shared" si="1"/>
        <v>1.0234785990624937</v>
      </c>
      <c r="M9" s="1"/>
    </row>
    <row r="10" spans="1:13">
      <c r="A10" s="1"/>
      <c r="B10" s="1" t="s">
        <v>8</v>
      </c>
      <c r="C10" s="1">
        <v>0.6</v>
      </c>
      <c r="D10" s="5">
        <f>D9-D9*(C10/100)</f>
        <v>93.550130171111249</v>
      </c>
      <c r="E10" s="4">
        <f t="shared" si="0"/>
        <v>1</v>
      </c>
      <c r="F10" s="1"/>
      <c r="G10" s="3"/>
      <c r="H10" s="1"/>
      <c r="I10" s="1" t="s">
        <v>144</v>
      </c>
      <c r="J10" s="1">
        <v>2</v>
      </c>
      <c r="K10" s="5">
        <f t="shared" si="2"/>
        <v>71.509480178499999</v>
      </c>
      <c r="L10" s="4">
        <f t="shared" si="1"/>
        <v>1.0030090270812437</v>
      </c>
      <c r="M10" s="1"/>
    </row>
    <row r="11" spans="1:13">
      <c r="H11" s="1"/>
      <c r="I11" s="1" t="s">
        <v>8</v>
      </c>
      <c r="J11" s="1">
        <v>0.3</v>
      </c>
      <c r="K11" s="5">
        <f t="shared" si="2"/>
        <v>71.294951737964496</v>
      </c>
      <c r="L11" s="4">
        <f t="shared" si="1"/>
        <v>1</v>
      </c>
      <c r="M11" s="1"/>
    </row>
    <row r="12" spans="1:13">
      <c r="A12" s="35" t="s">
        <v>2</v>
      </c>
      <c r="B12" s="36"/>
      <c r="C12" s="35" t="s">
        <v>104</v>
      </c>
      <c r="D12" s="22"/>
      <c r="E12" s="22" t="s">
        <v>111</v>
      </c>
      <c r="F12" s="36">
        <f>2*22.5</f>
        <v>45</v>
      </c>
      <c r="H12" t="s">
        <v>145</v>
      </c>
    </row>
    <row r="13" spans="1:13">
      <c r="A13" s="48" t="s">
        <v>211</v>
      </c>
      <c r="B13" s="37">
        <f>9*5</f>
        <v>45</v>
      </c>
      <c r="C13" s="23" t="s">
        <v>105</v>
      </c>
      <c r="D13" s="3">
        <v>24</v>
      </c>
      <c r="E13" s="3" t="s">
        <v>112</v>
      </c>
      <c r="F13" s="37">
        <f>1*22.5</f>
        <v>22.5</v>
      </c>
    </row>
    <row r="14" spans="1:13">
      <c r="A14" s="23" t="s">
        <v>10</v>
      </c>
      <c r="B14" s="37">
        <v>2000</v>
      </c>
      <c r="C14" s="23" t="s">
        <v>106</v>
      </c>
      <c r="D14" s="3">
        <v>6</v>
      </c>
      <c r="E14" s="3" t="s">
        <v>113</v>
      </c>
      <c r="F14" s="37">
        <v>22.5</v>
      </c>
      <c r="H14" s="35" t="s">
        <v>2</v>
      </c>
      <c r="I14" s="36"/>
      <c r="J14" s="35" t="s">
        <v>104</v>
      </c>
      <c r="K14" s="36"/>
      <c r="L14" s="21" t="s">
        <v>111</v>
      </c>
      <c r="M14" s="36">
        <f>1*22.5</f>
        <v>22.5</v>
      </c>
    </row>
    <row r="15" spans="1:13">
      <c r="A15" s="38" t="s">
        <v>11</v>
      </c>
      <c r="B15" s="39">
        <f>B13*100*E4/B14</f>
        <v>2.4051275993785968</v>
      </c>
      <c r="C15" s="23" t="s">
        <v>107</v>
      </c>
      <c r="D15" s="3">
        <v>0.85</v>
      </c>
      <c r="E15" s="3" t="s">
        <v>114</v>
      </c>
      <c r="F15" s="37">
        <v>22.5</v>
      </c>
      <c r="H15" s="23" t="s">
        <v>9</v>
      </c>
      <c r="I15" s="37">
        <f>2*8</f>
        <v>16</v>
      </c>
      <c r="J15" s="23" t="s">
        <v>105</v>
      </c>
      <c r="K15" s="37">
        <v>26.25</v>
      </c>
      <c r="L15" s="23" t="s">
        <v>112</v>
      </c>
      <c r="M15" s="37">
        <f>1*22.5</f>
        <v>22.5</v>
      </c>
    </row>
    <row r="16" spans="1:13">
      <c r="A16" s="23"/>
      <c r="B16" s="37"/>
      <c r="C16" s="23" t="s">
        <v>108</v>
      </c>
      <c r="D16" s="42">
        <f>2*60*D13*D15/D14</f>
        <v>408</v>
      </c>
      <c r="E16" s="3" t="s">
        <v>115</v>
      </c>
      <c r="F16" s="37">
        <f>3*8</f>
        <v>24</v>
      </c>
      <c r="H16" s="23" t="s">
        <v>10</v>
      </c>
      <c r="I16" s="37">
        <v>2000</v>
      </c>
      <c r="J16" s="23" t="s">
        <v>106</v>
      </c>
      <c r="K16" s="37">
        <v>6</v>
      </c>
      <c r="L16" s="23" t="s">
        <v>113</v>
      </c>
      <c r="M16" s="37">
        <v>0</v>
      </c>
    </row>
    <row r="17" spans="1:13">
      <c r="A17" s="23"/>
      <c r="B17" s="37"/>
      <c r="C17" s="23" t="s">
        <v>109</v>
      </c>
      <c r="D17" s="42">
        <f>B28*D16</f>
        <v>6760.56</v>
      </c>
      <c r="E17" s="3"/>
      <c r="F17" s="43">
        <f>SUM(F12:F16)</f>
        <v>136.5</v>
      </c>
      <c r="H17" s="38" t="s">
        <v>11</v>
      </c>
      <c r="I17" s="39">
        <f>I15*100*L4/I16</f>
        <v>1.1220990834530584</v>
      </c>
      <c r="J17" s="23" t="s">
        <v>107</v>
      </c>
      <c r="K17" s="37">
        <v>0.85</v>
      </c>
      <c r="L17" s="23" t="s">
        <v>114</v>
      </c>
      <c r="M17" s="37">
        <v>22.5</v>
      </c>
    </row>
    <row r="18" spans="1:13">
      <c r="A18" s="38"/>
      <c r="B18" s="39"/>
      <c r="C18" s="23" t="s">
        <v>33</v>
      </c>
      <c r="D18" s="159">
        <v>98.2</v>
      </c>
      <c r="E18" s="24" t="s">
        <v>11</v>
      </c>
      <c r="F18" s="39">
        <f>F17*100*E5/D17</f>
        <v>2.1517942469146729</v>
      </c>
      <c r="H18" s="23" t="s">
        <v>12</v>
      </c>
      <c r="I18" s="37">
        <f>11*8</f>
        <v>88</v>
      </c>
      <c r="J18" s="23" t="s">
        <v>108</v>
      </c>
      <c r="K18" s="50">
        <f>60*K15*K17/K16</f>
        <v>223.125</v>
      </c>
      <c r="L18" s="23" t="s">
        <v>115</v>
      </c>
      <c r="M18" s="37">
        <v>0</v>
      </c>
    </row>
    <row r="19" spans="1:13">
      <c r="A19" s="23" t="s">
        <v>13</v>
      </c>
      <c r="B19" s="142">
        <v>5.25</v>
      </c>
      <c r="C19" s="23" t="s">
        <v>110</v>
      </c>
      <c r="D19" s="3">
        <f>D18*0.5*0.9</f>
        <v>44.190000000000005</v>
      </c>
      <c r="E19" s="3"/>
      <c r="F19" s="37"/>
      <c r="H19" s="23" t="s">
        <v>10</v>
      </c>
      <c r="I19" s="37">
        <v>2000</v>
      </c>
      <c r="J19" s="23" t="s">
        <v>109</v>
      </c>
      <c r="K19" s="50">
        <f>I30*K18</f>
        <v>3697.1812500000001</v>
      </c>
      <c r="L19" s="23"/>
      <c r="M19" s="43">
        <f>SUM(M14:M18)</f>
        <v>67.5</v>
      </c>
    </row>
    <row r="20" spans="1:13">
      <c r="A20" s="23" t="s">
        <v>14</v>
      </c>
      <c r="B20" s="142">
        <v>500</v>
      </c>
      <c r="C20" s="23"/>
      <c r="D20" s="3"/>
      <c r="E20" s="3"/>
      <c r="F20" s="37"/>
      <c r="H20" s="38" t="s">
        <v>11</v>
      </c>
      <c r="I20" s="39">
        <f>I18*100*L4/I19</f>
        <v>6.1715449589918219</v>
      </c>
      <c r="J20" s="23" t="s">
        <v>33</v>
      </c>
      <c r="K20" s="142">
        <v>94.75</v>
      </c>
      <c r="L20" s="40" t="s">
        <v>11</v>
      </c>
      <c r="M20" s="41">
        <f>M19*100*L5/K19</f>
        <v>2.4327521042695492</v>
      </c>
    </row>
    <row r="21" spans="1:13">
      <c r="A21" s="40" t="s">
        <v>15</v>
      </c>
      <c r="B21" s="41">
        <f>B19*0.5*E4/B20</f>
        <v>5.6119643985500581E-3</v>
      </c>
      <c r="C21" s="40" t="s">
        <v>15</v>
      </c>
      <c r="D21" s="45">
        <f>D19*B29*E5/D17</f>
        <v>0.15673811171070229</v>
      </c>
      <c r="E21" s="26"/>
      <c r="F21" s="46"/>
      <c r="H21" s="23" t="s">
        <v>13</v>
      </c>
      <c r="I21" s="142">
        <v>5.25</v>
      </c>
      <c r="J21" s="23" t="s">
        <v>110</v>
      </c>
      <c r="K21" s="49">
        <f>K20*0.5*0.8</f>
        <v>37.9</v>
      </c>
    </row>
    <row r="22" spans="1:13">
      <c r="A22" s="35" t="s">
        <v>159</v>
      </c>
      <c r="B22" s="47" t="s">
        <v>146</v>
      </c>
      <c r="C22" s="6"/>
      <c r="H22" s="23" t="s">
        <v>14</v>
      </c>
      <c r="I22" s="142">
        <v>500</v>
      </c>
      <c r="J22" s="23"/>
      <c r="K22" s="37"/>
    </row>
    <row r="23" spans="1:13">
      <c r="A23" s="48" t="s">
        <v>16</v>
      </c>
      <c r="B23" s="37">
        <v>0.12</v>
      </c>
      <c r="H23" s="40" t="s">
        <v>15</v>
      </c>
      <c r="I23" s="41">
        <f>I21*0.5*L4/I22</f>
        <v>7.3637752351606968E-3</v>
      </c>
      <c r="J23" s="40" t="s">
        <v>15</v>
      </c>
      <c r="K23" s="39">
        <f>K21*I31*L5/K19</f>
        <v>0.30733768250605303</v>
      </c>
    </row>
    <row r="24" spans="1:13">
      <c r="A24" s="48" t="s">
        <v>17</v>
      </c>
      <c r="B24" s="37">
        <v>100</v>
      </c>
      <c r="H24" s="35" t="s">
        <v>159</v>
      </c>
      <c r="I24" s="47" t="s">
        <v>146</v>
      </c>
      <c r="J24" s="6"/>
      <c r="K24" s="35" t="s">
        <v>147</v>
      </c>
      <c r="L24" s="77" t="s">
        <v>151</v>
      </c>
      <c r="M24" s="47" t="s">
        <v>152</v>
      </c>
    </row>
    <row r="25" spans="1:13">
      <c r="A25" s="48" t="s">
        <v>18</v>
      </c>
      <c r="B25" s="37">
        <v>0.85</v>
      </c>
      <c r="H25" s="48" t="s">
        <v>16</v>
      </c>
      <c r="I25" s="37">
        <v>0.14000000000000001</v>
      </c>
      <c r="K25" s="23" t="s">
        <v>148</v>
      </c>
      <c r="L25" s="3">
        <v>55</v>
      </c>
      <c r="M25" s="37">
        <v>57</v>
      </c>
    </row>
    <row r="26" spans="1:13">
      <c r="A26" s="48" t="s">
        <v>19</v>
      </c>
      <c r="B26" s="49">
        <f>B24*1.0936*60*B25*0.4536/(840*B23)</f>
        <v>25.098120000000002</v>
      </c>
      <c r="C26" s="9"/>
      <c r="H26" s="48" t="s">
        <v>17</v>
      </c>
      <c r="I26" s="37">
        <v>110</v>
      </c>
      <c r="K26" s="23" t="s">
        <v>149</v>
      </c>
      <c r="L26" s="3">
        <v>55</v>
      </c>
      <c r="M26" s="37">
        <v>55</v>
      </c>
    </row>
    <row r="27" spans="1:13">
      <c r="A27" s="48" t="s">
        <v>20</v>
      </c>
      <c r="B27" s="37">
        <v>3</v>
      </c>
      <c r="H27" s="48" t="s">
        <v>18</v>
      </c>
      <c r="I27" s="37">
        <v>0.85</v>
      </c>
      <c r="K27" s="23" t="s">
        <v>150</v>
      </c>
      <c r="L27" s="3">
        <v>0.65</v>
      </c>
      <c r="M27" s="37">
        <v>0.65</v>
      </c>
    </row>
    <row r="28" spans="1:13">
      <c r="A28" s="48" t="s">
        <v>21</v>
      </c>
      <c r="B28" s="143">
        <v>16.57</v>
      </c>
      <c r="C28" s="151"/>
      <c r="H28" s="48" t="s">
        <v>19</v>
      </c>
      <c r="I28" s="49">
        <f>I26*1.0936*60*I27*0.4536/(840*I25)</f>
        <v>23.663941714285709</v>
      </c>
      <c r="J28" s="9"/>
      <c r="K28" s="23" t="s">
        <v>108</v>
      </c>
      <c r="L28" s="102">
        <f>L25*L26*60*L27/1000</f>
        <v>117.97499999999999</v>
      </c>
      <c r="M28" s="51">
        <f>M25*M26*60*M27/1000</f>
        <v>122.265</v>
      </c>
    </row>
    <row r="29" spans="1:13">
      <c r="A29" s="48" t="s">
        <v>22</v>
      </c>
      <c r="B29" s="37">
        <v>22.5</v>
      </c>
      <c r="H29" s="48" t="s">
        <v>20</v>
      </c>
      <c r="I29" s="37">
        <v>3</v>
      </c>
      <c r="K29" s="23" t="s">
        <v>33</v>
      </c>
      <c r="L29" s="3">
        <v>4</v>
      </c>
      <c r="M29" s="37">
        <v>4</v>
      </c>
    </row>
    <row r="30" spans="1:13">
      <c r="A30" s="48" t="s">
        <v>23</v>
      </c>
      <c r="B30" s="50">
        <f>B29*B26*B27</f>
        <v>1694.1231000000002</v>
      </c>
      <c r="C30" s="11"/>
      <c r="H30" s="48" t="s">
        <v>21</v>
      </c>
      <c r="I30" s="143">
        <v>16.57</v>
      </c>
      <c r="J30" s="151"/>
      <c r="K30" s="23" t="s">
        <v>110</v>
      </c>
      <c r="L30" s="3">
        <f>L29*0.5*L27</f>
        <v>1.3</v>
      </c>
      <c r="M30" s="37">
        <f>M29*0.5*M27</f>
        <v>1.3</v>
      </c>
    </row>
    <row r="31" spans="1:13">
      <c r="A31" s="48" t="s">
        <v>25</v>
      </c>
      <c r="B31" s="49">
        <v>22.5</v>
      </c>
      <c r="H31" s="48" t="s">
        <v>22</v>
      </c>
      <c r="I31" s="37">
        <v>22.5</v>
      </c>
      <c r="K31" s="40" t="s">
        <v>15</v>
      </c>
      <c r="L31" s="45">
        <f>L30*L6/L28</f>
        <v>1.3361634402826022E-2</v>
      </c>
      <c r="M31" s="41">
        <f>M30*L6/M28</f>
        <v>1.2892805125533879E-2</v>
      </c>
    </row>
    <row r="32" spans="1:13">
      <c r="A32" s="38" t="s">
        <v>102</v>
      </c>
      <c r="B32" s="76">
        <f>B31*100*E7/B30</f>
        <v>1.3731437751543079</v>
      </c>
      <c r="H32" s="48" t="s">
        <v>23</v>
      </c>
      <c r="I32" s="50">
        <f>I31*I28*I29</f>
        <v>1597.3160657142853</v>
      </c>
      <c r="J32" s="11"/>
      <c r="K32" s="35" t="s">
        <v>143</v>
      </c>
      <c r="L32" s="36"/>
    </row>
    <row r="33" spans="1:12">
      <c r="A33" s="48" t="s">
        <v>26</v>
      </c>
      <c r="B33" s="49">
        <f>B28*0.55*B25</f>
        <v>7.7464750000000002</v>
      </c>
      <c r="H33" s="48" t="s">
        <v>25</v>
      </c>
      <c r="I33" s="49">
        <v>22.5</v>
      </c>
      <c r="J33" s="9"/>
      <c r="K33" s="23" t="s">
        <v>153</v>
      </c>
      <c r="L33" s="37">
        <v>190</v>
      </c>
    </row>
    <row r="34" spans="1:12">
      <c r="A34" s="38" t="s">
        <v>15</v>
      </c>
      <c r="B34" s="39">
        <f>B33*B27*E7/B30*B29</f>
        <v>0.31911071776915401</v>
      </c>
      <c r="H34" s="38" t="s">
        <v>102</v>
      </c>
      <c r="I34" s="76">
        <f>I33*100*L6/I32</f>
        <v>1.7080393687814133</v>
      </c>
      <c r="J34" s="29"/>
      <c r="K34" s="55" t="s">
        <v>154</v>
      </c>
      <c r="L34" s="37">
        <v>4.9000000000000004</v>
      </c>
    </row>
    <row r="35" spans="1:12">
      <c r="A35" s="35" t="s">
        <v>5</v>
      </c>
      <c r="B35" s="70" t="s">
        <v>27</v>
      </c>
      <c r="C35" s="62" t="s">
        <v>28</v>
      </c>
      <c r="H35" s="48" t="s">
        <v>26</v>
      </c>
      <c r="I35" s="37">
        <f>I30*0.5*I27</f>
        <v>7.0422500000000001</v>
      </c>
      <c r="K35" s="23" t="s">
        <v>155</v>
      </c>
      <c r="L35" s="37">
        <v>15</v>
      </c>
    </row>
    <row r="36" spans="1:12">
      <c r="A36" s="23" t="s">
        <v>16</v>
      </c>
      <c r="B36" s="56">
        <v>0.122</v>
      </c>
      <c r="C36" s="63">
        <v>0.125</v>
      </c>
      <c r="E36" s="11"/>
      <c r="H36" s="40" t="s">
        <v>15</v>
      </c>
      <c r="I36" s="41">
        <f>I35*I29*L6/I32</f>
        <v>1.6037920326401209E-2</v>
      </c>
      <c r="K36" s="55" t="s">
        <v>150</v>
      </c>
      <c r="L36" s="37">
        <v>0.8</v>
      </c>
    </row>
    <row r="37" spans="1:12">
      <c r="A37" s="23" t="s">
        <v>17</v>
      </c>
      <c r="B37" s="56">
        <v>220</v>
      </c>
      <c r="C37" s="63">
        <v>400</v>
      </c>
      <c r="K37" s="55" t="s">
        <v>108</v>
      </c>
      <c r="L37" s="51">
        <f>L33*L34*L36*60*(100-L35)/100*57*8/1000/1000/1.1</f>
        <v>15.746426181818189</v>
      </c>
    </row>
    <row r="38" spans="1:12">
      <c r="A38" s="48" t="s">
        <v>18</v>
      </c>
      <c r="B38" s="56">
        <v>0.85</v>
      </c>
      <c r="C38" s="63">
        <v>0.85</v>
      </c>
      <c r="J38" s="27"/>
      <c r="K38" s="55" t="s">
        <v>156</v>
      </c>
      <c r="L38" s="50">
        <f>L37*24</f>
        <v>377.91422836363654</v>
      </c>
    </row>
    <row r="39" spans="1:12">
      <c r="A39" s="48" t="s">
        <v>29</v>
      </c>
      <c r="B39" s="57">
        <f>24*60*B37*1.0936*B38*2*0.4536/(840*B36)</f>
        <v>2606.9129232786881</v>
      </c>
      <c r="C39" s="64">
        <f>24*60*C37*1.0936*C38*0.4536/(840*C36)</f>
        <v>2313.0427391999997</v>
      </c>
      <c r="J39" s="27"/>
      <c r="K39" s="55" t="s">
        <v>157</v>
      </c>
      <c r="L39" s="37">
        <v>5</v>
      </c>
    </row>
    <row r="40" spans="1:12">
      <c r="A40" s="48" t="s">
        <v>30</v>
      </c>
      <c r="B40" s="56">
        <f>4*22.5/9</f>
        <v>10</v>
      </c>
      <c r="C40" s="63">
        <f>4*22.5/9</f>
        <v>10</v>
      </c>
      <c r="J40" s="27"/>
      <c r="K40" s="55" t="s">
        <v>158</v>
      </c>
      <c r="L40" s="37">
        <f>3*22.5</f>
        <v>67.5</v>
      </c>
    </row>
    <row r="41" spans="1:12">
      <c r="A41" s="71" t="s">
        <v>31</v>
      </c>
      <c r="B41" s="72">
        <f>B40*100*E7/B39</f>
        <v>0.39659929111937886</v>
      </c>
      <c r="C41" s="65">
        <f>C40*100*E7/C39</f>
        <v>0.44698690597470975</v>
      </c>
      <c r="H41" s="8"/>
      <c r="J41" s="30"/>
      <c r="K41" s="103" t="s">
        <v>102</v>
      </c>
      <c r="L41" s="39">
        <f>L40*100*L7/L38/L39</f>
        <v>3.6818464220959037</v>
      </c>
    </row>
    <row r="42" spans="1:12">
      <c r="A42" s="38" t="s">
        <v>32</v>
      </c>
      <c r="B42" s="272">
        <f>B41+C41</f>
        <v>0.84358619709408855</v>
      </c>
      <c r="C42" s="273"/>
      <c r="J42" s="27"/>
      <c r="K42" s="55" t="s">
        <v>160</v>
      </c>
      <c r="L42" s="37">
        <v>8</v>
      </c>
    </row>
    <row r="43" spans="1:12">
      <c r="A43" s="73" t="s">
        <v>33</v>
      </c>
      <c r="B43" s="74">
        <v>7.5</v>
      </c>
      <c r="C43" s="66">
        <v>12.33</v>
      </c>
      <c r="J43" s="31"/>
      <c r="K43" s="55" t="s">
        <v>110</v>
      </c>
      <c r="L43" s="37">
        <f>L42*0.5*L36</f>
        <v>3.2</v>
      </c>
    </row>
    <row r="44" spans="1:12">
      <c r="A44" s="48" t="s">
        <v>34</v>
      </c>
      <c r="B44" s="59">
        <f>B43*0.5*B38*24</f>
        <v>76.5</v>
      </c>
      <c r="C44" s="67">
        <f>C43*0.5*C38*24</f>
        <v>125.76599999999999</v>
      </c>
      <c r="J44" s="15"/>
      <c r="K44" s="104" t="s">
        <v>15</v>
      </c>
      <c r="L44" s="105">
        <f>L43*L7/L37</f>
        <v>0.20945615201256695</v>
      </c>
    </row>
    <row r="45" spans="1:12">
      <c r="A45" s="48" t="s">
        <v>35</v>
      </c>
      <c r="B45" s="60">
        <f>B44*E7/B39</f>
        <v>3.0339845770632482E-2</v>
      </c>
      <c r="C45" s="68">
        <f>C44*E7/C39</f>
        <v>5.6215755216815343E-2</v>
      </c>
      <c r="J45" s="32"/>
    </row>
    <row r="46" spans="1:12">
      <c r="A46" s="40" t="s">
        <v>36</v>
      </c>
      <c r="B46" s="61">
        <f>B45+C45</f>
        <v>8.6555600987447828E-2</v>
      </c>
      <c r="C46" s="69"/>
      <c r="J46" s="33"/>
    </row>
    <row r="47" spans="1:12">
      <c r="A47" s="35" t="s">
        <v>6</v>
      </c>
      <c r="B47" s="36"/>
    </row>
    <row r="48" spans="1:12">
      <c r="A48" s="48" t="s">
        <v>16</v>
      </c>
      <c r="B48" s="37">
        <v>1</v>
      </c>
      <c r="G48" s="6" t="s">
        <v>210</v>
      </c>
      <c r="H48" s="6" t="s">
        <v>11</v>
      </c>
      <c r="I48" s="7">
        <f>I17+I20+I34+M20+L41</f>
        <v>15.116281937591745</v>
      </c>
    </row>
    <row r="49" spans="1:9">
      <c r="A49" s="48" t="s">
        <v>37</v>
      </c>
      <c r="B49" s="37">
        <v>0.97</v>
      </c>
      <c r="H49" s="6" t="s">
        <v>15</v>
      </c>
      <c r="I49" s="7">
        <f>I23+K23+I36+L31+M31+L44</f>
        <v>0.56644996960854177</v>
      </c>
    </row>
    <row r="50" spans="1:9">
      <c r="A50" s="48" t="s">
        <v>38</v>
      </c>
      <c r="B50" s="37">
        <v>595</v>
      </c>
    </row>
    <row r="51" spans="1:9">
      <c r="A51" s="48" t="s">
        <v>39</v>
      </c>
      <c r="B51" s="37">
        <v>120</v>
      </c>
      <c r="G51" s="8" t="s">
        <v>212</v>
      </c>
      <c r="H51">
        <v>0.5</v>
      </c>
    </row>
    <row r="52" spans="1:9">
      <c r="A52" s="48" t="s">
        <v>18</v>
      </c>
      <c r="B52" s="37">
        <v>0.85</v>
      </c>
      <c r="G52" s="8" t="s">
        <v>210</v>
      </c>
      <c r="H52">
        <v>0.5</v>
      </c>
    </row>
    <row r="53" spans="1:9">
      <c r="A53" s="48" t="s">
        <v>29</v>
      </c>
      <c r="B53" s="50">
        <f>7.2*B50*B52*B51*3/(B48*B49*1000)</f>
        <v>1351.4474226804123</v>
      </c>
    </row>
    <row r="54" spans="1:9">
      <c r="A54" s="48" t="s">
        <v>30</v>
      </c>
      <c r="B54" s="37">
        <f>7*22.5</f>
        <v>157.5</v>
      </c>
    </row>
    <row r="55" spans="1:9">
      <c r="A55" s="48" t="s">
        <v>40</v>
      </c>
      <c r="B55" s="37">
        <f>6*22.5</f>
        <v>135</v>
      </c>
    </row>
    <row r="56" spans="1:9">
      <c r="A56" s="48" t="s">
        <v>41</v>
      </c>
      <c r="B56" s="37">
        <f>1*22.5</f>
        <v>22.5</v>
      </c>
    </row>
    <row r="57" spans="1:9">
      <c r="A57" s="48" t="s">
        <v>24</v>
      </c>
      <c r="B57" s="50">
        <f>1*8</f>
        <v>8</v>
      </c>
    </row>
    <row r="58" spans="1:9">
      <c r="A58" s="48" t="s">
        <v>116</v>
      </c>
      <c r="B58" s="37">
        <f>1*22.5</f>
        <v>22.5</v>
      </c>
    </row>
    <row r="59" spans="1:9">
      <c r="A59" s="48" t="s">
        <v>42</v>
      </c>
      <c r="B59" s="37">
        <f>2*22.5</f>
        <v>45</v>
      </c>
    </row>
    <row r="60" spans="1:9">
      <c r="A60" s="48" t="s">
        <v>43</v>
      </c>
      <c r="B60" s="51">
        <f>SUM(B54:B59)</f>
        <v>390.5</v>
      </c>
    </row>
    <row r="61" spans="1:9">
      <c r="A61" s="48" t="s">
        <v>117</v>
      </c>
      <c r="B61" s="50">
        <v>7</v>
      </c>
    </row>
    <row r="62" spans="1:9">
      <c r="A62" s="38" t="s">
        <v>11</v>
      </c>
      <c r="B62" s="76">
        <f>B60/B61*100*E8/B53</f>
        <v>4.2592471720985872</v>
      </c>
    </row>
    <row r="63" spans="1:9">
      <c r="A63" s="48" t="s">
        <v>33</v>
      </c>
      <c r="B63" s="37">
        <v>12.62</v>
      </c>
    </row>
    <row r="64" spans="1:9">
      <c r="A64" s="48" t="s">
        <v>34</v>
      </c>
      <c r="B64" s="50">
        <f>B63*0.5*24*B52</f>
        <v>128.72399999999999</v>
      </c>
    </row>
    <row r="65" spans="1:6">
      <c r="A65" s="40" t="s">
        <v>15</v>
      </c>
      <c r="B65" s="41">
        <f>B64*E8/B53</f>
        <v>9.8280955976146722E-2</v>
      </c>
    </row>
    <row r="66" spans="1:6">
      <c r="A66" s="6" t="s">
        <v>44</v>
      </c>
      <c r="B66" s="7">
        <f>B15+B18+F18+B32+B42+B62+(H52*I48)</f>
        <v>18.591039959436124</v>
      </c>
      <c r="C66" s="7"/>
      <c r="D66" s="7"/>
      <c r="E66" s="7"/>
      <c r="F66" s="7"/>
    </row>
    <row r="67" spans="1:6">
      <c r="A67" s="6" t="s">
        <v>45</v>
      </c>
      <c r="B67" s="7">
        <f>B21+D21+B34+B46+B65+(I49*H52)</f>
        <v>0.94952233564627186</v>
      </c>
      <c r="C67" s="7"/>
      <c r="D67" s="7"/>
      <c r="E67" s="7"/>
      <c r="F67" s="7"/>
    </row>
    <row r="69" spans="1:6">
      <c r="A69" s="35" t="s">
        <v>46</v>
      </c>
      <c r="B69" s="156" t="s">
        <v>209</v>
      </c>
      <c r="C69" s="13"/>
      <c r="D69" s="13"/>
      <c r="E69" s="13"/>
    </row>
    <row r="70" spans="1:6">
      <c r="A70" s="48" t="s">
        <v>47</v>
      </c>
      <c r="B70" s="82">
        <v>16</v>
      </c>
    </row>
    <row r="71" spans="1:6">
      <c r="A71" s="48" t="s">
        <v>48</v>
      </c>
      <c r="B71" s="82">
        <v>15.34</v>
      </c>
    </row>
    <row r="72" spans="1:6">
      <c r="A72" s="48" t="s">
        <v>38</v>
      </c>
      <c r="B72" s="82">
        <v>11275</v>
      </c>
    </row>
    <row r="73" spans="1:6">
      <c r="A73" s="48" t="s">
        <v>18</v>
      </c>
      <c r="B73" s="82">
        <v>0.92500000000000004</v>
      </c>
    </row>
    <row r="74" spans="1:6">
      <c r="A74" s="48" t="s">
        <v>49</v>
      </c>
      <c r="B74" s="82">
        <v>0.95499999999999996</v>
      </c>
    </row>
    <row r="75" spans="1:6">
      <c r="A75" s="38" t="s">
        <v>50</v>
      </c>
      <c r="B75" s="83">
        <f>7.2*B72*B73/(B70*B71)</f>
        <v>305.94646349413301</v>
      </c>
      <c r="C75" s="16"/>
      <c r="D75" s="16"/>
      <c r="E75" s="16"/>
    </row>
    <row r="76" spans="1:6">
      <c r="A76" s="48" t="s">
        <v>51</v>
      </c>
      <c r="B76" s="141">
        <v>0.95</v>
      </c>
      <c r="C76" s="101"/>
      <c r="D76" s="101"/>
      <c r="E76" s="101"/>
    </row>
    <row r="77" spans="1:6">
      <c r="A77" s="48" t="s">
        <v>52</v>
      </c>
      <c r="B77" s="85">
        <f>B76*(7.5+80/B70+500/B71/B71)*(B72/10000)*(B72/10000)</f>
        <v>17.662282237204789</v>
      </c>
      <c r="C77" s="17"/>
      <c r="D77" s="17"/>
      <c r="E77" s="17"/>
    </row>
    <row r="78" spans="1:6">
      <c r="A78" s="38" t="s">
        <v>101</v>
      </c>
      <c r="B78" s="86">
        <f>B77*8*$E$9/B75</f>
        <v>0.46462757981736247</v>
      </c>
      <c r="C78" s="7"/>
      <c r="D78" s="7"/>
      <c r="E78" s="7"/>
    </row>
    <row r="79" spans="1:6">
      <c r="A79" s="48" t="s">
        <v>118</v>
      </c>
      <c r="B79" s="82">
        <v>9.6</v>
      </c>
    </row>
    <row r="80" spans="1:6">
      <c r="A80" s="48" t="s">
        <v>53</v>
      </c>
      <c r="B80" s="85">
        <f>B79*0.55*24*0.98/(1.008*B75*3)*$E$9</f>
        <v>0.13503850810618243</v>
      </c>
      <c r="C80" s="17"/>
      <c r="D80" s="17"/>
      <c r="E80" s="17"/>
    </row>
    <row r="81" spans="1:6">
      <c r="A81" s="48" t="s">
        <v>54</v>
      </c>
      <c r="B81" s="82"/>
    </row>
    <row r="82" spans="1:6">
      <c r="A82" s="48" t="s">
        <v>55</v>
      </c>
      <c r="B82" s="82">
        <v>900</v>
      </c>
    </row>
    <row r="83" spans="1:6">
      <c r="A83" s="48" t="s">
        <v>56</v>
      </c>
      <c r="B83" s="82">
        <v>1440</v>
      </c>
    </row>
    <row r="84" spans="1:6">
      <c r="A84" s="48" t="s">
        <v>57</v>
      </c>
      <c r="B84" s="82">
        <v>2460</v>
      </c>
    </row>
    <row r="85" spans="1:6">
      <c r="A85" s="48" t="s">
        <v>58</v>
      </c>
      <c r="B85" s="82">
        <v>50</v>
      </c>
    </row>
    <row r="86" spans="1:6">
      <c r="A86" s="48" t="s">
        <v>119</v>
      </c>
      <c r="B86" s="82">
        <v>50</v>
      </c>
    </row>
    <row r="87" spans="1:6">
      <c r="A87" s="48" t="s">
        <v>59</v>
      </c>
      <c r="B87" s="82">
        <f>SUM(B82:B86)</f>
        <v>4900</v>
      </c>
    </row>
    <row r="88" spans="1:6">
      <c r="A88" s="48" t="s">
        <v>60</v>
      </c>
      <c r="B88" s="82">
        <v>18144</v>
      </c>
    </row>
    <row r="89" spans="1:6">
      <c r="A89" s="48" t="s">
        <v>61</v>
      </c>
      <c r="B89" s="150">
        <v>0.96550000000000002</v>
      </c>
      <c r="C89" s="153"/>
      <c r="D89" s="153"/>
      <c r="E89" s="153"/>
      <c r="F89" s="153"/>
    </row>
    <row r="90" spans="1:6">
      <c r="A90" s="48" t="s">
        <v>62</v>
      </c>
      <c r="B90" s="88">
        <f>B87*1000/(B88*3*B89)</f>
        <v>93.237261658919991</v>
      </c>
      <c r="C90" s="9"/>
      <c r="D90" s="9"/>
      <c r="E90" s="9"/>
    </row>
    <row r="91" spans="1:6">
      <c r="A91" s="48" t="s">
        <v>63</v>
      </c>
      <c r="B91" s="85">
        <f>B90*$E$9/B75</f>
        <v>0.30658979012158244</v>
      </c>
      <c r="C91" s="17"/>
      <c r="D91" s="17"/>
      <c r="E91" s="17"/>
    </row>
    <row r="92" spans="1:6">
      <c r="A92" s="38" t="s">
        <v>64</v>
      </c>
      <c r="B92" s="86">
        <f>(B91+B80)</f>
        <v>0.44162829822776484</v>
      </c>
      <c r="C92" s="7"/>
      <c r="D92" s="7"/>
      <c r="E92" s="7"/>
    </row>
    <row r="93" spans="1:6">
      <c r="A93" s="48" t="s">
        <v>65</v>
      </c>
      <c r="B93" s="150">
        <f>3*504</f>
        <v>1512</v>
      </c>
      <c r="C93" s="153"/>
      <c r="D93" s="153"/>
      <c r="E93" s="153"/>
      <c r="F93" s="153"/>
    </row>
    <row r="94" spans="1:6">
      <c r="A94" s="38" t="s">
        <v>66</v>
      </c>
      <c r="B94" s="89">
        <f>7.5*100*$E$9/(B93*B75/1000)*7/6</f>
        <v>1.9029371294724935</v>
      </c>
      <c r="C94" s="12"/>
      <c r="D94" s="12"/>
      <c r="E94" s="12"/>
    </row>
    <row r="95" spans="1:6">
      <c r="A95" s="48" t="s">
        <v>67</v>
      </c>
      <c r="B95" s="141">
        <v>7850</v>
      </c>
      <c r="C95" s="101"/>
      <c r="D95" s="101"/>
      <c r="E95" s="101"/>
    </row>
    <row r="96" spans="1:6">
      <c r="A96" s="48" t="s">
        <v>68</v>
      </c>
      <c r="B96" s="150">
        <f>12*22.5</f>
        <v>270</v>
      </c>
      <c r="C96" s="153"/>
      <c r="D96" s="153"/>
      <c r="E96" s="153"/>
    </row>
    <row r="97" spans="1:5">
      <c r="A97" s="38" t="s">
        <v>69</v>
      </c>
      <c r="B97" s="89">
        <f>B96*100*$E$9/B95</f>
        <v>3.4602519576055055</v>
      </c>
      <c r="C97" s="12"/>
      <c r="D97" s="12"/>
      <c r="E97" s="12"/>
    </row>
    <row r="98" spans="1:5">
      <c r="A98" s="48" t="s">
        <v>70</v>
      </c>
      <c r="B98" s="82"/>
    </row>
    <row r="99" spans="1:5">
      <c r="A99" s="48" t="s">
        <v>41</v>
      </c>
      <c r="B99" s="82">
        <f>1*22.5</f>
        <v>22.5</v>
      </c>
    </row>
    <row r="100" spans="1:5">
      <c r="A100" s="48" t="s">
        <v>71</v>
      </c>
      <c r="B100" s="82">
        <f>1*22.5</f>
        <v>22.5</v>
      </c>
    </row>
    <row r="101" spans="1:5">
      <c r="A101" s="48" t="s">
        <v>72</v>
      </c>
      <c r="B101" s="82">
        <f>3*22.5</f>
        <v>67.5</v>
      </c>
    </row>
    <row r="102" spans="1:5">
      <c r="A102" s="48" t="s">
        <v>120</v>
      </c>
      <c r="B102" s="82">
        <f>12*8</f>
        <v>96</v>
      </c>
    </row>
    <row r="103" spans="1:5">
      <c r="A103" s="48" t="s">
        <v>73</v>
      </c>
      <c r="B103" s="82">
        <f>26*8</f>
        <v>208</v>
      </c>
    </row>
    <row r="104" spans="1:5">
      <c r="A104" s="48" t="s">
        <v>74</v>
      </c>
      <c r="B104" s="82">
        <f>3*8</f>
        <v>24</v>
      </c>
    </row>
    <row r="105" spans="1:5">
      <c r="A105" s="48" t="s">
        <v>42</v>
      </c>
      <c r="B105" s="82">
        <f>5*22.5</f>
        <v>112.5</v>
      </c>
    </row>
    <row r="106" spans="1:5">
      <c r="A106" s="48" t="s">
        <v>75</v>
      </c>
      <c r="B106" s="82">
        <f>3*7</f>
        <v>21</v>
      </c>
    </row>
    <row r="107" spans="1:5">
      <c r="A107" s="48" t="s">
        <v>76</v>
      </c>
      <c r="B107" s="90">
        <f>58*0.8</f>
        <v>46.400000000000006</v>
      </c>
      <c r="C107" s="11"/>
      <c r="D107" s="11"/>
      <c r="E107" s="11"/>
    </row>
    <row r="108" spans="1:5">
      <c r="A108" s="48" t="s">
        <v>122</v>
      </c>
      <c r="B108" s="90">
        <f>9*8*0.8</f>
        <v>57.6</v>
      </c>
      <c r="C108" s="11"/>
      <c r="D108" s="11"/>
      <c r="E108" s="11"/>
    </row>
    <row r="109" spans="1:5">
      <c r="A109" s="48" t="s">
        <v>121</v>
      </c>
      <c r="B109" s="90">
        <f>1*8*0.8</f>
        <v>6.4</v>
      </c>
      <c r="C109" s="11"/>
      <c r="D109" s="11"/>
      <c r="E109" s="11"/>
    </row>
    <row r="110" spans="1:5">
      <c r="A110" s="48" t="s">
        <v>77</v>
      </c>
      <c r="B110" s="90">
        <f>1*8*0.8</f>
        <v>6.4</v>
      </c>
      <c r="C110" s="11"/>
      <c r="D110" s="11"/>
      <c r="E110" s="11"/>
    </row>
    <row r="111" spans="1:5">
      <c r="A111" s="48" t="s">
        <v>78</v>
      </c>
      <c r="B111" s="90">
        <f>2*8*0.8</f>
        <v>12.8</v>
      </c>
      <c r="C111" s="11"/>
      <c r="D111" s="11"/>
      <c r="E111" s="11"/>
    </row>
    <row r="112" spans="1:5">
      <c r="A112" s="48" t="s">
        <v>79</v>
      </c>
      <c r="B112" s="90">
        <f>4*8*0.8</f>
        <v>25.6</v>
      </c>
      <c r="C112" s="11"/>
      <c r="D112" s="11"/>
      <c r="E112" s="11"/>
    </row>
    <row r="113" spans="1:5">
      <c r="A113" s="48" t="s">
        <v>80</v>
      </c>
      <c r="B113" s="90">
        <f>SUM(B99:B112)</f>
        <v>729.19999999999993</v>
      </c>
      <c r="C113" s="11"/>
      <c r="D113" s="11"/>
      <c r="E113" s="11"/>
    </row>
    <row r="114" spans="1:5">
      <c r="A114" s="48" t="s">
        <v>81</v>
      </c>
      <c r="B114" s="88">
        <f>B113*1000/(B88*3*B89)</f>
        <v>13.875226775853967</v>
      </c>
      <c r="C114" s="9"/>
      <c r="D114" s="9"/>
      <c r="E114" s="9"/>
    </row>
    <row r="115" spans="1:5">
      <c r="A115" s="40" t="s">
        <v>82</v>
      </c>
      <c r="B115" s="91">
        <f>B114*100*$E$9/B75</f>
        <v>4.5625566317685271</v>
      </c>
      <c r="C115" s="7"/>
      <c r="D115" s="7"/>
      <c r="E115" s="7"/>
    </row>
    <row r="116" spans="1:5">
      <c r="A116" s="82"/>
    </row>
    <row r="117" spans="1:5">
      <c r="A117" s="35" t="s">
        <v>8</v>
      </c>
      <c r="B117" s="62"/>
    </row>
    <row r="118" spans="1:5">
      <c r="A118" s="23" t="s">
        <v>47</v>
      </c>
      <c r="B118" s="82">
        <f>B70</f>
        <v>16</v>
      </c>
    </row>
    <row r="119" spans="1:5">
      <c r="A119" s="48" t="s">
        <v>17</v>
      </c>
      <c r="B119" s="82">
        <v>1350</v>
      </c>
    </row>
    <row r="120" spans="1:5">
      <c r="A120" s="23" t="s">
        <v>83</v>
      </c>
      <c r="B120" s="82">
        <v>60</v>
      </c>
    </row>
    <row r="121" spans="1:5">
      <c r="A121" s="48" t="s">
        <v>84</v>
      </c>
      <c r="B121" s="82">
        <v>0.7</v>
      </c>
    </row>
    <row r="122" spans="1:5">
      <c r="A122" s="23" t="s">
        <v>85</v>
      </c>
      <c r="B122" s="90">
        <f>B119*1.0936*23.5*60*B121*B120/(840*B118)*0.4536</f>
        <v>2950.7638229999998</v>
      </c>
      <c r="C122" s="11"/>
      <c r="D122" s="11"/>
      <c r="E122" s="11"/>
    </row>
    <row r="123" spans="1:5">
      <c r="A123" s="23" t="s">
        <v>86</v>
      </c>
      <c r="B123" s="150">
        <v>12.77</v>
      </c>
      <c r="C123" s="153"/>
      <c r="D123" s="153"/>
      <c r="E123" s="153"/>
    </row>
    <row r="124" spans="1:5">
      <c r="A124" s="23" t="s">
        <v>87</v>
      </c>
      <c r="B124" s="88">
        <f>690/5/24</f>
        <v>5.75</v>
      </c>
      <c r="C124" s="9"/>
      <c r="D124" s="9"/>
      <c r="E124" s="9"/>
    </row>
    <row r="125" spans="1:5">
      <c r="A125" s="23" t="s">
        <v>88</v>
      </c>
      <c r="B125" s="88">
        <f>SUM(B123:B124)</f>
        <v>18.52</v>
      </c>
      <c r="C125" s="9"/>
      <c r="D125" s="9"/>
      <c r="E125" s="9"/>
    </row>
    <row r="126" spans="1:5">
      <c r="A126" s="38" t="s">
        <v>35</v>
      </c>
      <c r="B126" s="86">
        <f>B125*23.5/B122</f>
        <v>0.14749401378979832</v>
      </c>
      <c r="C126" s="7"/>
      <c r="D126" s="7"/>
      <c r="E126" s="7"/>
    </row>
    <row r="127" spans="1:5">
      <c r="A127" s="23" t="s">
        <v>89</v>
      </c>
      <c r="B127" s="82">
        <f>3*22.5</f>
        <v>67.5</v>
      </c>
    </row>
    <row r="128" spans="1:5">
      <c r="A128" s="23" t="s">
        <v>123</v>
      </c>
      <c r="B128" s="88">
        <f>2*22.5</f>
        <v>45</v>
      </c>
      <c r="C128" s="9"/>
      <c r="D128" s="9"/>
      <c r="E128" s="9"/>
    </row>
    <row r="129" spans="1:5">
      <c r="A129" s="23" t="s">
        <v>124</v>
      </c>
      <c r="B129" s="88">
        <f>2*22.5</f>
        <v>45</v>
      </c>
      <c r="C129" s="9"/>
      <c r="D129" s="9"/>
      <c r="E129" s="9"/>
    </row>
    <row r="130" spans="1:5">
      <c r="A130" s="23" t="s">
        <v>90</v>
      </c>
      <c r="B130" s="88">
        <f>3*22.5</f>
        <v>67.5</v>
      </c>
      <c r="C130" s="9"/>
      <c r="D130" s="9"/>
      <c r="E130" s="9"/>
    </row>
    <row r="131" spans="1:5">
      <c r="A131" s="23" t="s">
        <v>41</v>
      </c>
      <c r="B131" s="88">
        <f>1*22.5</f>
        <v>22.5</v>
      </c>
      <c r="C131" s="9"/>
      <c r="D131" s="9"/>
      <c r="E131" s="9"/>
    </row>
    <row r="132" spans="1:5">
      <c r="A132" s="23" t="s">
        <v>42</v>
      </c>
      <c r="B132" s="88">
        <f>2*22.5</f>
        <v>45</v>
      </c>
      <c r="C132" s="9"/>
      <c r="D132" s="9"/>
      <c r="E132" s="9"/>
    </row>
    <row r="133" spans="1:5">
      <c r="A133" s="23" t="s">
        <v>91</v>
      </c>
      <c r="B133" s="88">
        <f>1*22.5</f>
        <v>22.5</v>
      </c>
      <c r="C133" s="9"/>
      <c r="D133" s="9"/>
      <c r="E133" s="9"/>
    </row>
    <row r="134" spans="1:5">
      <c r="A134" s="23" t="s">
        <v>125</v>
      </c>
      <c r="B134" s="88">
        <f>3*8</f>
        <v>24</v>
      </c>
      <c r="C134" s="9"/>
      <c r="D134" s="9"/>
      <c r="E134" s="9"/>
    </row>
    <row r="135" spans="1:5">
      <c r="A135" s="23" t="s">
        <v>126</v>
      </c>
      <c r="B135" s="88">
        <f>SUM(B127:B134)</f>
        <v>339</v>
      </c>
      <c r="C135" s="9"/>
      <c r="D135" s="9"/>
      <c r="E135" s="9"/>
    </row>
    <row r="136" spans="1:5">
      <c r="A136" s="40" t="s">
        <v>31</v>
      </c>
      <c r="B136" s="94">
        <f>B135/5*100/B122</f>
        <v>2.2977101546225649</v>
      </c>
      <c r="C136" s="12"/>
      <c r="D136" s="12"/>
      <c r="E136" s="12"/>
    </row>
    <row r="137" spans="1:5">
      <c r="A137" s="35" t="s">
        <v>92</v>
      </c>
      <c r="B137" s="62"/>
    </row>
    <row r="138" spans="1:5">
      <c r="A138" s="23" t="s">
        <v>93</v>
      </c>
      <c r="B138" s="82"/>
    </row>
    <row r="139" spans="1:5">
      <c r="A139" s="23" t="s">
        <v>140</v>
      </c>
      <c r="B139" s="82"/>
    </row>
    <row r="140" spans="1:5">
      <c r="A140" s="23" t="s">
        <v>102</v>
      </c>
      <c r="B140" s="82"/>
    </row>
    <row r="141" spans="1:5">
      <c r="A141" s="23" t="s">
        <v>127</v>
      </c>
      <c r="B141" s="82">
        <v>40.799999999999997</v>
      </c>
    </row>
    <row r="142" spans="1:5">
      <c r="A142" s="23" t="s">
        <v>128</v>
      </c>
      <c r="B142" s="82">
        <v>37</v>
      </c>
    </row>
    <row r="143" spans="1:5">
      <c r="A143" s="23" t="s">
        <v>102</v>
      </c>
      <c r="B143" s="85">
        <f>8*100/B141/B142</f>
        <v>0.52994170641229466</v>
      </c>
      <c r="C143" s="17"/>
      <c r="D143" s="17"/>
      <c r="E143" s="17"/>
    </row>
    <row r="144" spans="1:5">
      <c r="A144" s="23" t="s">
        <v>129</v>
      </c>
      <c r="B144" s="90">
        <v>6000</v>
      </c>
      <c r="C144" s="11"/>
      <c r="D144" s="11"/>
      <c r="E144" s="11"/>
    </row>
    <row r="145" spans="1:5">
      <c r="A145" s="23" t="s">
        <v>130</v>
      </c>
      <c r="B145" s="88">
        <f>9*8</f>
        <v>72</v>
      </c>
      <c r="C145" s="9"/>
      <c r="D145" s="9"/>
      <c r="E145" s="9"/>
    </row>
    <row r="146" spans="1:5">
      <c r="A146" s="23" t="s">
        <v>102</v>
      </c>
      <c r="B146" s="95">
        <f>B145*100/B144</f>
        <v>1.2</v>
      </c>
      <c r="C146" s="14"/>
      <c r="D146" s="14"/>
      <c r="E146" s="14"/>
    </row>
    <row r="147" spans="1:5">
      <c r="A147" s="23" t="s">
        <v>131</v>
      </c>
      <c r="B147" s="90">
        <v>12000</v>
      </c>
      <c r="C147" s="11"/>
      <c r="D147" s="11"/>
      <c r="E147" s="11"/>
    </row>
    <row r="148" spans="1:5">
      <c r="A148" s="23" t="s">
        <v>130</v>
      </c>
      <c r="B148" s="90">
        <f>2*8</f>
        <v>16</v>
      </c>
      <c r="C148" s="11"/>
      <c r="D148" s="11"/>
      <c r="E148" s="11"/>
    </row>
    <row r="149" spans="1:5">
      <c r="A149" s="23" t="s">
        <v>31</v>
      </c>
      <c r="B149" s="85">
        <f>B148*100/B147</f>
        <v>0.13333333333333333</v>
      </c>
      <c r="C149" s="17"/>
      <c r="D149" s="17"/>
      <c r="E149" s="17"/>
    </row>
    <row r="150" spans="1:5">
      <c r="A150" s="23" t="s">
        <v>132</v>
      </c>
      <c r="B150" s="90">
        <v>12000</v>
      </c>
      <c r="C150" s="11"/>
      <c r="D150" s="11"/>
      <c r="E150" s="11"/>
    </row>
    <row r="151" spans="1:5">
      <c r="A151" s="23" t="s">
        <v>130</v>
      </c>
      <c r="B151" s="90">
        <f>4*8</f>
        <v>32</v>
      </c>
      <c r="C151" s="11"/>
      <c r="D151" s="11"/>
      <c r="E151" s="11"/>
    </row>
    <row r="152" spans="1:5">
      <c r="A152" s="23" t="s">
        <v>31</v>
      </c>
      <c r="B152" s="85">
        <f>B151*100/B150</f>
        <v>0.26666666666666666</v>
      </c>
      <c r="C152" s="17"/>
      <c r="D152" s="17"/>
      <c r="E152" s="17"/>
    </row>
    <row r="153" spans="1:5">
      <c r="A153" s="38" t="s">
        <v>31</v>
      </c>
      <c r="B153" s="89">
        <f>B140+B143+B146+B149+B152</f>
        <v>2.1299417064122945</v>
      </c>
      <c r="C153" s="12"/>
      <c r="D153" s="12"/>
      <c r="E153" s="12"/>
    </row>
    <row r="154" spans="1:5">
      <c r="A154" s="23" t="s">
        <v>134</v>
      </c>
      <c r="B154" s="152">
        <v>0</v>
      </c>
      <c r="C154" s="151"/>
      <c r="D154" s="151"/>
      <c r="E154" s="151"/>
    </row>
    <row r="155" spans="1:5">
      <c r="A155" s="23" t="s">
        <v>136</v>
      </c>
      <c r="B155" s="82">
        <v>0</v>
      </c>
    </row>
    <row r="156" spans="1:5">
      <c r="A156" s="23" t="s">
        <v>138</v>
      </c>
      <c r="B156" s="82">
        <v>0</v>
      </c>
    </row>
    <row r="157" spans="1:5">
      <c r="A157" s="23" t="s">
        <v>133</v>
      </c>
      <c r="B157" s="152">
        <v>0.5</v>
      </c>
      <c r="C157" s="151"/>
      <c r="D157" s="151"/>
      <c r="E157" s="151"/>
    </row>
    <row r="158" spans="1:5">
      <c r="A158" s="23" t="s">
        <v>137</v>
      </c>
      <c r="B158" s="88">
        <v>0.75</v>
      </c>
      <c r="C158" s="9"/>
      <c r="D158" s="9"/>
      <c r="E158" s="9"/>
    </row>
    <row r="159" spans="1:5">
      <c r="A159" s="23" t="s">
        <v>139</v>
      </c>
      <c r="B159" s="90">
        <v>455</v>
      </c>
      <c r="C159" s="11"/>
      <c r="D159" s="11"/>
      <c r="E159" s="11"/>
    </row>
    <row r="160" spans="1:5">
      <c r="A160" s="23" t="s">
        <v>135</v>
      </c>
      <c r="B160" s="82"/>
    </row>
    <row r="161" spans="1:5">
      <c r="A161" s="40" t="s">
        <v>15</v>
      </c>
      <c r="B161" s="91">
        <f>B157*0.5*B158/60*1.25/B141</f>
        <v>9.5741421568627463E-5</v>
      </c>
      <c r="C161" s="7"/>
      <c r="D161" s="7"/>
      <c r="E161" s="7"/>
    </row>
    <row r="163" spans="1:5">
      <c r="B163" s="9"/>
      <c r="C163" s="9"/>
      <c r="D163" s="9"/>
      <c r="E163" s="9"/>
    </row>
    <row r="164" spans="1:5">
      <c r="A164" s="35" t="s">
        <v>94</v>
      </c>
      <c r="B164" s="97" t="str">
        <f>B69</f>
        <v>16s M/C</v>
      </c>
      <c r="C164" s="18"/>
      <c r="D164" s="18"/>
      <c r="E164" s="18"/>
    </row>
    <row r="165" spans="1:5">
      <c r="A165" s="38" t="s">
        <v>95</v>
      </c>
      <c r="B165" s="98">
        <f>B75</f>
        <v>305.94646349413301</v>
      </c>
      <c r="C165" s="19"/>
      <c r="D165" s="19"/>
      <c r="E165" s="19"/>
    </row>
    <row r="166" spans="1:5">
      <c r="A166" s="38" t="s">
        <v>96</v>
      </c>
      <c r="B166" s="99">
        <f>B78</f>
        <v>0.46462757981736247</v>
      </c>
      <c r="C166" s="20"/>
      <c r="D166" s="20"/>
      <c r="E166" s="20"/>
    </row>
    <row r="167" spans="1:5">
      <c r="A167" s="38" t="s">
        <v>64</v>
      </c>
      <c r="B167" s="99">
        <f>B92</f>
        <v>0.44162829822776484</v>
      </c>
      <c r="C167" s="20"/>
      <c r="D167" s="20"/>
      <c r="E167" s="20"/>
    </row>
    <row r="168" spans="1:5">
      <c r="A168" s="38" t="s">
        <v>97</v>
      </c>
      <c r="B168" s="99">
        <f>B67+B126+B161</f>
        <v>1.0971120908576388</v>
      </c>
      <c r="C168" s="20"/>
      <c r="D168" s="20"/>
      <c r="E168" s="20"/>
    </row>
    <row r="169" spans="1:5">
      <c r="A169" s="38" t="s">
        <v>98</v>
      </c>
      <c r="B169" s="99">
        <f>B66+B94+B97+B115</f>
        <v>28.516785678282648</v>
      </c>
      <c r="C169" s="20"/>
      <c r="D169" s="20"/>
      <c r="E169" s="20"/>
    </row>
    <row r="170" spans="1:5">
      <c r="A170" s="38" t="s">
        <v>99</v>
      </c>
      <c r="B170" s="99">
        <f>B136</f>
        <v>2.2977101546225649</v>
      </c>
      <c r="C170" s="20"/>
      <c r="D170" s="20"/>
      <c r="E170" s="20"/>
    </row>
    <row r="171" spans="1:5">
      <c r="A171" s="38" t="s">
        <v>100</v>
      </c>
      <c r="B171" s="99">
        <f>B153</f>
        <v>2.1299417064122945</v>
      </c>
      <c r="C171" s="20"/>
      <c r="D171" s="20"/>
      <c r="E171" s="20"/>
    </row>
    <row r="172" spans="1:5">
      <c r="A172" s="40" t="s">
        <v>141</v>
      </c>
      <c r="B172" s="100"/>
    </row>
    <row r="173" spans="1:5">
      <c r="A173" s="6"/>
      <c r="B173" s="13"/>
    </row>
    <row r="174" spans="1:5">
      <c r="A174" s="6"/>
    </row>
    <row r="175" spans="1:5">
      <c r="A175" s="6"/>
      <c r="B175" s="18"/>
    </row>
    <row r="176" spans="1:5">
      <c r="A176" s="6"/>
      <c r="B176" s="19"/>
    </row>
    <row r="177" spans="1:2">
      <c r="A177" s="6"/>
      <c r="B177" s="20"/>
    </row>
    <row r="178" spans="1:2">
      <c r="A178" s="6"/>
      <c r="B178" s="20"/>
    </row>
    <row r="179" spans="1:2">
      <c r="A179" s="6"/>
      <c r="B179" s="20"/>
    </row>
    <row r="180" spans="1:2">
      <c r="A180" s="6"/>
      <c r="B180" s="20"/>
    </row>
    <row r="181" spans="1:2">
      <c r="A181" s="6"/>
      <c r="B181" s="20"/>
    </row>
    <row r="182" spans="1:2">
      <c r="A182" s="6"/>
      <c r="B182" s="20"/>
    </row>
    <row r="183" spans="1:2">
      <c r="A183" s="6"/>
      <c r="B183" s="18"/>
    </row>
  </sheetData>
  <mergeCells count="2">
    <mergeCell ref="A2:F2"/>
    <mergeCell ref="B42:C42"/>
  </mergeCells>
  <phoneticPr fontId="0" type="noConversion"/>
  <pageMargins left="0.75" right="0.75" top="0.28999999999999998" bottom="0.38" header="0.22" footer="0.35"/>
  <pageSetup scale="64" orientation="portrait" r:id="rId1"/>
  <headerFooter alignWithMargins="0"/>
  <rowBreaks count="2" manualBreakCount="2">
    <brk id="65" max="16383" man="1"/>
    <brk id="13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H208"/>
  <sheetViews>
    <sheetView topLeftCell="A105" zoomScale="115" zoomScaleNormal="115" workbookViewId="0">
      <selection activeCell="B133" sqref="B133"/>
    </sheetView>
  </sheetViews>
  <sheetFormatPr defaultRowHeight="12.75"/>
  <cols>
    <col min="1" max="1" width="23.140625" customWidth="1"/>
    <col min="2" max="2" width="14.140625" customWidth="1"/>
    <col min="4" max="4" width="10" customWidth="1"/>
  </cols>
  <sheetData>
    <row r="1" spans="1:8">
      <c r="A1" s="6" t="s">
        <v>142</v>
      </c>
    </row>
    <row r="2" spans="1:8">
      <c r="A2" s="269" t="s">
        <v>103</v>
      </c>
      <c r="B2" s="270"/>
      <c r="C2" s="270"/>
      <c r="D2" s="270"/>
      <c r="E2" s="270"/>
      <c r="F2" s="271"/>
      <c r="G2" s="3"/>
      <c r="H2" s="3"/>
    </row>
    <row r="3" spans="1:8">
      <c r="A3" s="28" t="s">
        <v>217</v>
      </c>
      <c r="B3" s="1"/>
      <c r="C3" s="1" t="s">
        <v>0</v>
      </c>
      <c r="D3" s="1"/>
      <c r="E3" s="2" t="s">
        <v>1</v>
      </c>
      <c r="F3" s="1"/>
      <c r="G3" s="3"/>
      <c r="H3" s="3"/>
    </row>
    <row r="4" spans="1:8">
      <c r="A4" s="1"/>
      <c r="B4" s="1" t="s">
        <v>2</v>
      </c>
      <c r="C4" s="1"/>
      <c r="D4" s="1">
        <v>100</v>
      </c>
      <c r="E4" s="4">
        <f t="shared" ref="E4:E10" si="0">D4/$D$10</f>
        <v>1.0689455997238206</v>
      </c>
      <c r="F4" s="1"/>
      <c r="G4" s="3"/>
      <c r="H4" s="3"/>
    </row>
    <row r="5" spans="1:8">
      <c r="A5" s="1"/>
      <c r="B5" s="1" t="s">
        <v>3</v>
      </c>
      <c r="C5" s="1">
        <v>0.3</v>
      </c>
      <c r="D5" s="1">
        <f>D4-C5</f>
        <v>99.7</v>
      </c>
      <c r="E5" s="4">
        <f t="shared" si="0"/>
        <v>1.0657387629246491</v>
      </c>
      <c r="F5" s="1"/>
      <c r="G5" s="3"/>
      <c r="H5" s="3"/>
    </row>
    <row r="6" spans="1:8">
      <c r="A6" s="1"/>
      <c r="B6" s="1" t="s">
        <v>4</v>
      </c>
      <c r="C6" s="1">
        <v>2.5</v>
      </c>
      <c r="D6" s="5">
        <f>D5-D5*(C6/100)</f>
        <v>97.207499999999996</v>
      </c>
      <c r="E6" s="4">
        <f t="shared" si="0"/>
        <v>1.039095293851533</v>
      </c>
      <c r="F6" s="1"/>
      <c r="G6" s="3"/>
      <c r="H6" s="3"/>
    </row>
    <row r="7" spans="1:8">
      <c r="A7" s="1"/>
      <c r="B7" s="1" t="s">
        <v>5</v>
      </c>
      <c r="C7" s="1">
        <v>0.5</v>
      </c>
      <c r="D7" s="5">
        <f>D6-D6*(C7/100)</f>
        <v>96.721462500000001</v>
      </c>
      <c r="E7" s="4">
        <f t="shared" si="0"/>
        <v>1.0338998173822753</v>
      </c>
      <c r="F7" s="1"/>
      <c r="G7" s="3"/>
      <c r="H7" s="3"/>
    </row>
    <row r="8" spans="1:8">
      <c r="A8" s="1"/>
      <c r="B8" s="1" t="s">
        <v>6</v>
      </c>
      <c r="C8" s="1">
        <v>0.2</v>
      </c>
      <c r="D8" s="5">
        <f>D7-D7*(C8/100)</f>
        <v>96.528019575000002</v>
      </c>
      <c r="E8" s="4">
        <f t="shared" si="0"/>
        <v>1.0318320177475107</v>
      </c>
      <c r="F8" s="1"/>
      <c r="G8" s="3"/>
      <c r="H8" s="3"/>
    </row>
    <row r="9" spans="1:8">
      <c r="A9" s="1"/>
      <c r="B9" s="1" t="s">
        <v>7</v>
      </c>
      <c r="C9" s="1">
        <v>2.5</v>
      </c>
      <c r="D9" s="5">
        <f>D8-D8*(C9/100)</f>
        <v>94.114819085625001</v>
      </c>
      <c r="E9" s="4">
        <f t="shared" si="0"/>
        <v>1.0060362173038229</v>
      </c>
      <c r="F9" s="1"/>
      <c r="G9" s="3"/>
      <c r="H9" s="3"/>
    </row>
    <row r="10" spans="1:8">
      <c r="A10" s="1"/>
      <c r="B10" s="1" t="s">
        <v>8</v>
      </c>
      <c r="C10" s="1">
        <v>0.6</v>
      </c>
      <c r="D10" s="5">
        <f>D9-D9*(C10/100)</f>
        <v>93.550130171111249</v>
      </c>
      <c r="E10" s="4">
        <f t="shared" si="0"/>
        <v>1</v>
      </c>
      <c r="F10" s="1"/>
      <c r="G10" s="3"/>
      <c r="H10" s="3"/>
    </row>
    <row r="12" spans="1:8">
      <c r="A12" s="35" t="s">
        <v>2</v>
      </c>
      <c r="B12" s="36"/>
      <c r="C12" s="35" t="s">
        <v>104</v>
      </c>
      <c r="D12" s="22"/>
      <c r="E12" s="22" t="s">
        <v>111</v>
      </c>
      <c r="F12" s="36">
        <f>2*22.5</f>
        <v>45</v>
      </c>
    </row>
    <row r="13" spans="1:8">
      <c r="A13" s="23" t="s">
        <v>9</v>
      </c>
      <c r="B13" s="37">
        <f>5*8</f>
        <v>40</v>
      </c>
      <c r="C13" s="23" t="s">
        <v>105</v>
      </c>
      <c r="D13" s="3">
        <v>26.25</v>
      </c>
      <c r="E13" s="3" t="s">
        <v>112</v>
      </c>
      <c r="F13" s="37">
        <f>1*22.5</f>
        <v>22.5</v>
      </c>
    </row>
    <row r="14" spans="1:8">
      <c r="A14" s="23" t="s">
        <v>10</v>
      </c>
      <c r="B14" s="37">
        <v>9000</v>
      </c>
      <c r="C14" s="23" t="s">
        <v>106</v>
      </c>
      <c r="D14" s="3">
        <v>6</v>
      </c>
      <c r="E14" s="3" t="s">
        <v>113</v>
      </c>
      <c r="F14" s="37">
        <v>22.5</v>
      </c>
    </row>
    <row r="15" spans="1:8">
      <c r="A15" s="38" t="s">
        <v>11</v>
      </c>
      <c r="B15" s="39">
        <f>B13*100*E4/B14</f>
        <v>0.47508693321058693</v>
      </c>
      <c r="C15" s="23" t="s">
        <v>107</v>
      </c>
      <c r="D15" s="3">
        <v>0.85</v>
      </c>
      <c r="E15" s="3" t="s">
        <v>114</v>
      </c>
      <c r="F15" s="37">
        <v>22.5</v>
      </c>
    </row>
    <row r="16" spans="1:8">
      <c r="A16" s="23" t="s">
        <v>12</v>
      </c>
      <c r="B16" s="37">
        <f>15*8</f>
        <v>120</v>
      </c>
      <c r="C16" s="23" t="s">
        <v>108</v>
      </c>
      <c r="D16" s="42">
        <f>2*60*D13*D15/D14</f>
        <v>446.25</v>
      </c>
      <c r="E16" s="3" t="s">
        <v>115</v>
      </c>
      <c r="F16" s="37">
        <f>3*8</f>
        <v>24</v>
      </c>
    </row>
    <row r="17" spans="1:6">
      <c r="A17" s="23" t="s">
        <v>10</v>
      </c>
      <c r="B17" s="37">
        <v>9000</v>
      </c>
      <c r="C17" s="23" t="s">
        <v>109</v>
      </c>
      <c r="D17" s="42">
        <f>B28*D16</f>
        <v>7394.3625000000002</v>
      </c>
      <c r="E17" s="3"/>
      <c r="F17" s="43">
        <f>SUM(F12:F16)</f>
        <v>136.5</v>
      </c>
    </row>
    <row r="18" spans="1:6">
      <c r="A18" s="38" t="s">
        <v>11</v>
      </c>
      <c r="B18" s="39">
        <f>B16*100*E4/B17</f>
        <v>1.4252607996317608</v>
      </c>
      <c r="C18" s="23" t="s">
        <v>33</v>
      </c>
      <c r="D18" s="148">
        <v>98.2</v>
      </c>
      <c r="E18" s="24" t="s">
        <v>11</v>
      </c>
      <c r="F18" s="44">
        <f>F17*100*E5/D17</f>
        <v>1.9673547400362723</v>
      </c>
    </row>
    <row r="19" spans="1:6">
      <c r="A19" s="23" t="s">
        <v>13</v>
      </c>
      <c r="B19" s="149">
        <v>5.25</v>
      </c>
      <c r="C19" s="23" t="s">
        <v>110</v>
      </c>
      <c r="D19" s="3">
        <f>D18*0.5*0.9</f>
        <v>44.190000000000005</v>
      </c>
      <c r="E19" s="3"/>
      <c r="F19" s="37"/>
    </row>
    <row r="20" spans="1:6">
      <c r="A20" s="23" t="s">
        <v>14</v>
      </c>
      <c r="B20" s="149">
        <v>500</v>
      </c>
      <c r="C20" s="23"/>
      <c r="D20" s="3"/>
      <c r="E20" s="3"/>
      <c r="F20" s="37"/>
    </row>
    <row r="21" spans="1:6">
      <c r="A21" s="40" t="s">
        <v>15</v>
      </c>
      <c r="B21" s="41">
        <f>B19*0.5*E4/B20</f>
        <v>5.6119643985500581E-3</v>
      </c>
      <c r="C21" s="40" t="s">
        <v>15</v>
      </c>
      <c r="D21" s="45">
        <f>D19*B29*E5/D17</f>
        <v>0.14330341642121353</v>
      </c>
      <c r="E21" s="26"/>
      <c r="F21" s="46"/>
    </row>
    <row r="22" spans="1:6">
      <c r="A22" s="35" t="s">
        <v>159</v>
      </c>
      <c r="B22" s="47" t="s">
        <v>146</v>
      </c>
      <c r="C22" s="35"/>
      <c r="D22" s="36"/>
    </row>
    <row r="23" spans="1:6">
      <c r="A23" s="48" t="s">
        <v>16</v>
      </c>
      <c r="B23" s="37">
        <v>0.18</v>
      </c>
      <c r="C23" s="23"/>
      <c r="D23" s="37"/>
    </row>
    <row r="24" spans="1:6">
      <c r="A24" s="48" t="s">
        <v>17</v>
      </c>
      <c r="B24" s="37">
        <v>80</v>
      </c>
      <c r="C24" s="23"/>
      <c r="D24" s="37"/>
    </row>
    <row r="25" spans="1:6">
      <c r="A25" s="48" t="s">
        <v>18</v>
      </c>
      <c r="B25" s="37">
        <v>0.85</v>
      </c>
      <c r="C25" s="23"/>
      <c r="D25" s="37"/>
    </row>
    <row r="26" spans="1:6">
      <c r="A26" s="48" t="s">
        <v>19</v>
      </c>
      <c r="B26" s="49">
        <f>B24*1.0936*60*B25*0.4536/(840*B23)</f>
        <v>13.385664</v>
      </c>
      <c r="C26" s="53"/>
      <c r="D26" s="37"/>
    </row>
    <row r="27" spans="1:6">
      <c r="A27" s="48" t="s">
        <v>20</v>
      </c>
      <c r="B27" s="37">
        <v>4</v>
      </c>
      <c r="C27" s="23"/>
      <c r="D27" s="37"/>
    </row>
    <row r="28" spans="1:6">
      <c r="A28" s="48" t="s">
        <v>21</v>
      </c>
      <c r="B28" s="121">
        <v>16.57</v>
      </c>
      <c r="C28" s="157"/>
      <c r="D28" s="37"/>
    </row>
    <row r="29" spans="1:6">
      <c r="A29" s="48" t="s">
        <v>22</v>
      </c>
      <c r="B29" s="37">
        <v>22.5</v>
      </c>
      <c r="C29" s="23"/>
      <c r="D29" s="37"/>
    </row>
    <row r="30" spans="1:6">
      <c r="A30" s="48" t="s">
        <v>23</v>
      </c>
      <c r="B30" s="50">
        <f>B29*B26*B27</f>
        <v>1204.70976</v>
      </c>
      <c r="C30" s="54"/>
      <c r="D30" s="37"/>
    </row>
    <row r="31" spans="1:6">
      <c r="A31" s="48" t="s">
        <v>25</v>
      </c>
      <c r="B31" s="49">
        <v>22.5</v>
      </c>
      <c r="C31" s="23"/>
      <c r="D31" s="37"/>
    </row>
    <row r="32" spans="1:6">
      <c r="A32" s="38" t="s">
        <v>102</v>
      </c>
      <c r="B32" s="76">
        <f>B31*100*E5/B30</f>
        <v>1.9904480698989777</v>
      </c>
      <c r="C32" s="23"/>
      <c r="D32" s="37"/>
    </row>
    <row r="33" spans="1:5">
      <c r="A33" s="48" t="s">
        <v>26</v>
      </c>
      <c r="B33" s="49">
        <f>B28*0.55*B25</f>
        <v>7.7464750000000002</v>
      </c>
      <c r="C33" s="23"/>
      <c r="D33" s="37"/>
    </row>
    <row r="34" spans="1:5">
      <c r="A34" s="38" t="s">
        <v>15</v>
      </c>
      <c r="B34" s="39">
        <f>B33*B27*E5/B30*B29</f>
        <v>0.61675824849082739</v>
      </c>
      <c r="C34" s="23"/>
      <c r="D34" s="37"/>
    </row>
    <row r="35" spans="1:5">
      <c r="A35" s="35" t="s">
        <v>5</v>
      </c>
      <c r="B35" s="70" t="s">
        <v>27</v>
      </c>
      <c r="C35" s="62" t="s">
        <v>28</v>
      </c>
    </row>
    <row r="36" spans="1:5">
      <c r="A36" s="23" t="s">
        <v>16</v>
      </c>
      <c r="B36" s="56">
        <v>0.19</v>
      </c>
      <c r="C36" s="63">
        <v>0.2</v>
      </c>
      <c r="E36" s="11"/>
    </row>
    <row r="37" spans="1:5">
      <c r="A37" s="23" t="s">
        <v>17</v>
      </c>
      <c r="B37" s="56">
        <v>220</v>
      </c>
      <c r="C37" s="63">
        <v>400</v>
      </c>
    </row>
    <row r="38" spans="1:5">
      <c r="A38" s="48" t="s">
        <v>18</v>
      </c>
      <c r="B38" s="56">
        <v>0.85</v>
      </c>
      <c r="C38" s="63">
        <v>0.85</v>
      </c>
    </row>
    <row r="39" spans="1:5">
      <c r="A39" s="48" t="s">
        <v>29</v>
      </c>
      <c r="B39" s="57">
        <f>24*60*B37*1.0936*B38*2*0.4536/(840*B36)</f>
        <v>1673.9125086315787</v>
      </c>
      <c r="C39" s="64">
        <f>24*60*C37*1.0936*C38*0.4536/(840*C36)</f>
        <v>1445.6517119999999</v>
      </c>
    </row>
    <row r="40" spans="1:5">
      <c r="A40" s="48" t="s">
        <v>30</v>
      </c>
      <c r="B40" s="56">
        <f>4*22.5/9</f>
        <v>10</v>
      </c>
      <c r="C40" s="63">
        <f>4*22.5/9</f>
        <v>10</v>
      </c>
    </row>
    <row r="41" spans="1:5">
      <c r="A41" s="71" t="s">
        <v>31</v>
      </c>
      <c r="B41" s="72">
        <f>B40*100*E7/B39</f>
        <v>0.61765463371050799</v>
      </c>
      <c r="C41" s="65">
        <f>C40*100*E7/C39</f>
        <v>0.7151790495595356</v>
      </c>
    </row>
    <row r="42" spans="1:5">
      <c r="A42" s="38" t="s">
        <v>32</v>
      </c>
      <c r="B42" s="272">
        <f>B41+C41</f>
        <v>1.3328336832700436</v>
      </c>
      <c r="C42" s="273"/>
    </row>
    <row r="43" spans="1:5">
      <c r="A43" s="73" t="s">
        <v>33</v>
      </c>
      <c r="B43" s="75">
        <v>7.5</v>
      </c>
      <c r="C43" s="66">
        <v>12.33</v>
      </c>
    </row>
    <row r="44" spans="1:5">
      <c r="A44" s="48" t="s">
        <v>34</v>
      </c>
      <c r="B44" s="59">
        <f>B43*0.5*B38*24</f>
        <v>76.5</v>
      </c>
      <c r="C44" s="67">
        <f>C43*0.5*C38*24</f>
        <v>125.76599999999999</v>
      </c>
    </row>
    <row r="45" spans="1:5">
      <c r="A45" s="48" t="s">
        <v>35</v>
      </c>
      <c r="B45" s="60">
        <f>B44*E7/B39</f>
        <v>4.7250579478853867E-2</v>
      </c>
      <c r="C45" s="68">
        <f>C44*E7/C39</f>
        <v>8.9945208346904545E-2</v>
      </c>
    </row>
    <row r="46" spans="1:5">
      <c r="A46" s="40" t="s">
        <v>36</v>
      </c>
      <c r="B46" s="61">
        <f>B45+C45</f>
        <v>0.13719578782575842</v>
      </c>
      <c r="C46" s="69"/>
    </row>
    <row r="47" spans="1:5">
      <c r="A47" s="35" t="s">
        <v>6</v>
      </c>
      <c r="B47" s="36"/>
    </row>
    <row r="48" spans="1:5">
      <c r="A48" s="48" t="s">
        <v>16</v>
      </c>
      <c r="B48" s="49">
        <v>2</v>
      </c>
    </row>
    <row r="49" spans="1:2">
      <c r="A49" s="48" t="s">
        <v>37</v>
      </c>
      <c r="B49" s="37">
        <v>1.042</v>
      </c>
    </row>
    <row r="50" spans="1:2">
      <c r="A50" s="48" t="s">
        <v>38</v>
      </c>
      <c r="B50" s="37">
        <v>630</v>
      </c>
    </row>
    <row r="51" spans="1:2">
      <c r="A51" s="48" t="s">
        <v>39</v>
      </c>
      <c r="B51" s="37">
        <v>120</v>
      </c>
    </row>
    <row r="52" spans="1:2">
      <c r="A52" s="48" t="s">
        <v>18</v>
      </c>
      <c r="B52" s="37">
        <v>0.85</v>
      </c>
    </row>
    <row r="53" spans="1:2">
      <c r="A53" s="48" t="s">
        <v>29</v>
      </c>
      <c r="B53" s="50">
        <f>7.2*B50*B52*B51*3/(B48*B49*1000)</f>
        <v>666.03454894433776</v>
      </c>
    </row>
    <row r="54" spans="1:2">
      <c r="A54" s="48" t="s">
        <v>30</v>
      </c>
      <c r="B54" s="37">
        <f>7*22.5</f>
        <v>157.5</v>
      </c>
    </row>
    <row r="55" spans="1:2">
      <c r="A55" s="48" t="s">
        <v>40</v>
      </c>
      <c r="B55" s="37">
        <f>6*22.5</f>
        <v>135</v>
      </c>
    </row>
    <row r="56" spans="1:2">
      <c r="A56" s="48" t="s">
        <v>41</v>
      </c>
      <c r="B56" s="37">
        <f>1*22.5</f>
        <v>22.5</v>
      </c>
    </row>
    <row r="57" spans="1:2">
      <c r="A57" s="48" t="s">
        <v>24</v>
      </c>
      <c r="B57" s="50">
        <f>1*8</f>
        <v>8</v>
      </c>
    </row>
    <row r="58" spans="1:2">
      <c r="A58" s="48" t="s">
        <v>116</v>
      </c>
      <c r="B58" s="37">
        <f>1*22.5</f>
        <v>22.5</v>
      </c>
    </row>
    <row r="59" spans="1:2">
      <c r="A59" s="48" t="s">
        <v>42</v>
      </c>
      <c r="B59" s="37">
        <f>2*22.5</f>
        <v>45</v>
      </c>
    </row>
    <row r="60" spans="1:2">
      <c r="A60" s="48" t="s">
        <v>43</v>
      </c>
      <c r="B60" s="51">
        <f>SUM(B54:B59)</f>
        <v>390.5</v>
      </c>
    </row>
    <row r="61" spans="1:2">
      <c r="A61" s="48" t="s">
        <v>117</v>
      </c>
      <c r="B61" s="50">
        <v>7</v>
      </c>
    </row>
    <row r="62" spans="1:2">
      <c r="A62" s="38" t="s">
        <v>11</v>
      </c>
      <c r="B62" s="76">
        <f>B60/B61*100*E8/B53</f>
        <v>8.6424174577954602</v>
      </c>
    </row>
    <row r="63" spans="1:2">
      <c r="A63" s="48" t="s">
        <v>33</v>
      </c>
      <c r="B63" s="37">
        <v>12.62</v>
      </c>
    </row>
    <row r="64" spans="1:2">
      <c r="A64" s="48" t="s">
        <v>34</v>
      </c>
      <c r="B64" s="50">
        <f>B63*0.5*24*B52</f>
        <v>128.72399999999999</v>
      </c>
    </row>
    <row r="65" spans="1:3">
      <c r="A65" s="40" t="s">
        <v>15</v>
      </c>
      <c r="B65" s="41">
        <f>B64*E8/B53</f>
        <v>0.1994214036840164</v>
      </c>
    </row>
    <row r="66" spans="1:3">
      <c r="A66" s="6" t="s">
        <v>44</v>
      </c>
      <c r="B66" s="7">
        <f>B15+B18+B32+B42+B62+F18</f>
        <v>15.833401683843102</v>
      </c>
    </row>
    <row r="67" spans="1:3">
      <c r="A67" s="6" t="s">
        <v>45</v>
      </c>
      <c r="B67" s="7">
        <f>B21+B34+B46+B65+D21</f>
        <v>1.1022908208203659</v>
      </c>
    </row>
    <row r="69" spans="1:3">
      <c r="A69" s="78" t="s">
        <v>46</v>
      </c>
      <c r="B69" s="92" t="s">
        <v>216</v>
      </c>
    </row>
    <row r="70" spans="1:3">
      <c r="A70" s="79" t="s">
        <v>47</v>
      </c>
      <c r="B70" s="82">
        <v>80</v>
      </c>
    </row>
    <row r="71" spans="1:3">
      <c r="A71" s="79" t="s">
        <v>48</v>
      </c>
      <c r="B71" s="82">
        <v>31.69</v>
      </c>
      <c r="C71" s="158" t="s">
        <v>208</v>
      </c>
    </row>
    <row r="72" spans="1:3">
      <c r="A72" s="79" t="s">
        <v>38</v>
      </c>
      <c r="B72" s="82">
        <v>14775</v>
      </c>
    </row>
    <row r="73" spans="1:3">
      <c r="A73" s="79" t="s">
        <v>18</v>
      </c>
      <c r="B73" s="82">
        <v>0.98</v>
      </c>
    </row>
    <row r="74" spans="1:3">
      <c r="A74" s="79" t="s">
        <v>49</v>
      </c>
      <c r="B74" s="82">
        <v>0.97499999999999998</v>
      </c>
    </row>
    <row r="75" spans="1:3">
      <c r="A75" s="80" t="s">
        <v>50</v>
      </c>
      <c r="B75" s="83">
        <f>7.2*B72*B73/(B70*B71)</f>
        <v>41.121962764278948</v>
      </c>
    </row>
    <row r="76" spans="1:3">
      <c r="A76" s="79" t="s">
        <v>51</v>
      </c>
      <c r="B76" s="84">
        <v>0.95</v>
      </c>
    </row>
    <row r="77" spans="1:3">
      <c r="A77" s="79" t="s">
        <v>52</v>
      </c>
      <c r="B77" s="85">
        <f>B76*(7.5+80/B70+500/B71/B71)*(B72/10000)*(B72/10000)</f>
        <v>18.66030887208208</v>
      </c>
    </row>
    <row r="78" spans="1:3">
      <c r="A78" s="80" t="s">
        <v>101</v>
      </c>
      <c r="B78" s="86">
        <f>B77*8*$E$9/B75</f>
        <v>3.6521499051981539</v>
      </c>
    </row>
    <row r="79" spans="1:3">
      <c r="A79" s="79" t="s">
        <v>118</v>
      </c>
      <c r="B79" s="82">
        <v>9.6</v>
      </c>
    </row>
    <row r="80" spans="1:3">
      <c r="A80" s="79" t="s">
        <v>53</v>
      </c>
      <c r="B80" s="85">
        <f>B79*0.55*24*0.98/(1.008*B75*3)*$E$9</f>
        <v>1.0046834152210913</v>
      </c>
    </row>
    <row r="81" spans="1:2">
      <c r="A81" s="79" t="s">
        <v>54</v>
      </c>
      <c r="B81" s="82"/>
    </row>
    <row r="82" spans="1:2">
      <c r="A82" s="79" t="s">
        <v>55</v>
      </c>
      <c r="B82" s="82">
        <v>900</v>
      </c>
    </row>
    <row r="83" spans="1:2">
      <c r="A83" s="79" t="s">
        <v>56</v>
      </c>
      <c r="B83" s="82">
        <v>1440</v>
      </c>
    </row>
    <row r="84" spans="1:2">
      <c r="A84" s="79" t="s">
        <v>57</v>
      </c>
      <c r="B84" s="82">
        <v>2460</v>
      </c>
    </row>
    <row r="85" spans="1:2">
      <c r="A85" s="79" t="s">
        <v>58</v>
      </c>
      <c r="B85" s="82">
        <v>50</v>
      </c>
    </row>
    <row r="86" spans="1:2">
      <c r="A86" s="79" t="s">
        <v>119</v>
      </c>
      <c r="B86" s="82">
        <v>50</v>
      </c>
    </row>
    <row r="87" spans="1:2">
      <c r="A87" s="79" t="s">
        <v>59</v>
      </c>
      <c r="B87" s="82">
        <f>SUM(B82:B86)</f>
        <v>4900</v>
      </c>
    </row>
    <row r="88" spans="1:2">
      <c r="A88" s="79" t="s">
        <v>60</v>
      </c>
      <c r="B88" s="82">
        <v>18144</v>
      </c>
    </row>
    <row r="89" spans="1:2">
      <c r="A89" s="79" t="s">
        <v>61</v>
      </c>
      <c r="B89" s="150">
        <v>0.94899999999999995</v>
      </c>
    </row>
    <row r="90" spans="1:2">
      <c r="A90" s="79" t="s">
        <v>62</v>
      </c>
      <c r="B90" s="88">
        <f>B87*1000/(B88*3*B89)</f>
        <v>94.85835208818466</v>
      </c>
    </row>
    <row r="91" spans="1:2">
      <c r="A91" s="79" t="s">
        <v>63</v>
      </c>
      <c r="B91" s="85">
        <f>B90*$E$9/B75</f>
        <v>2.3206805147289478</v>
      </c>
    </row>
    <row r="92" spans="1:2">
      <c r="A92" s="80" t="s">
        <v>64</v>
      </c>
      <c r="B92" s="86">
        <f>(B91+B80)</f>
        <v>3.325363929950039</v>
      </c>
    </row>
    <row r="93" spans="1:2">
      <c r="A93" s="79" t="s">
        <v>65</v>
      </c>
      <c r="B93" s="135">
        <f>3*504</f>
        <v>1512</v>
      </c>
    </row>
    <row r="94" spans="1:2">
      <c r="A94" s="80" t="s">
        <v>66</v>
      </c>
      <c r="B94" s="89">
        <f>7.5*100*$E$9/(B93*B75/1000)*7/6</f>
        <v>14.157808768785673</v>
      </c>
    </row>
    <row r="95" spans="1:2">
      <c r="A95" s="79" t="s">
        <v>67</v>
      </c>
      <c r="B95" s="84">
        <v>8400</v>
      </c>
    </row>
    <row r="96" spans="1:2">
      <c r="A96" s="79" t="s">
        <v>68</v>
      </c>
      <c r="B96" s="135">
        <f>12*22.5</f>
        <v>270</v>
      </c>
    </row>
    <row r="97" spans="1:2">
      <c r="A97" s="80" t="s">
        <v>69</v>
      </c>
      <c r="B97" s="89">
        <f>B96*100*$E$9/B95</f>
        <v>3.2336878413337167</v>
      </c>
    </row>
    <row r="98" spans="1:2">
      <c r="A98" s="79" t="s">
        <v>70</v>
      </c>
      <c r="B98" s="82"/>
    </row>
    <row r="99" spans="1:2">
      <c r="A99" s="79" t="s">
        <v>41</v>
      </c>
      <c r="B99" s="82">
        <f>1*22.5</f>
        <v>22.5</v>
      </c>
    </row>
    <row r="100" spans="1:2">
      <c r="A100" s="79" t="s">
        <v>71</v>
      </c>
      <c r="B100" s="82">
        <f>1*22.5</f>
        <v>22.5</v>
      </c>
    </row>
    <row r="101" spans="1:2">
      <c r="A101" s="79" t="s">
        <v>72</v>
      </c>
      <c r="B101" s="82">
        <f>3*22.5</f>
        <v>67.5</v>
      </c>
    </row>
    <row r="102" spans="1:2">
      <c r="A102" s="79" t="s">
        <v>120</v>
      </c>
      <c r="B102" s="82">
        <f>12*8</f>
        <v>96</v>
      </c>
    </row>
    <row r="103" spans="1:2">
      <c r="A103" s="79" t="s">
        <v>73</v>
      </c>
      <c r="B103" s="82">
        <f>26*8</f>
        <v>208</v>
      </c>
    </row>
    <row r="104" spans="1:2">
      <c r="A104" s="79" t="s">
        <v>74</v>
      </c>
      <c r="B104" s="82">
        <f>3*8</f>
        <v>24</v>
      </c>
    </row>
    <row r="105" spans="1:2">
      <c r="A105" s="79" t="s">
        <v>42</v>
      </c>
      <c r="B105" s="82">
        <f>5*22.5</f>
        <v>112.5</v>
      </c>
    </row>
    <row r="106" spans="1:2">
      <c r="A106" s="79" t="s">
        <v>75</v>
      </c>
      <c r="B106" s="82">
        <f>3*7</f>
        <v>21</v>
      </c>
    </row>
    <row r="107" spans="1:2">
      <c r="A107" s="79" t="s">
        <v>76</v>
      </c>
      <c r="B107" s="90">
        <f>58*0.8</f>
        <v>46.400000000000006</v>
      </c>
    </row>
    <row r="108" spans="1:2">
      <c r="A108" s="79" t="s">
        <v>122</v>
      </c>
      <c r="B108" s="90">
        <f>9*8*0.8</f>
        <v>57.6</v>
      </c>
    </row>
    <row r="109" spans="1:2">
      <c r="A109" s="79" t="s">
        <v>121</v>
      </c>
      <c r="B109" s="90">
        <f>1*8*0.8</f>
        <v>6.4</v>
      </c>
    </row>
    <row r="110" spans="1:2">
      <c r="A110" s="79" t="s">
        <v>77</v>
      </c>
      <c r="B110" s="90">
        <f>1*8*0.8</f>
        <v>6.4</v>
      </c>
    </row>
    <row r="111" spans="1:2">
      <c r="A111" s="79" t="s">
        <v>78</v>
      </c>
      <c r="B111" s="90">
        <f>2*8*0.8</f>
        <v>12.8</v>
      </c>
    </row>
    <row r="112" spans="1:2">
      <c r="A112" s="79" t="s">
        <v>79</v>
      </c>
      <c r="B112" s="90">
        <f>4*8*0.8</f>
        <v>25.6</v>
      </c>
    </row>
    <row r="113" spans="1:2">
      <c r="A113" s="79" t="s">
        <v>80</v>
      </c>
      <c r="B113" s="90">
        <f>SUM(B99:B112)</f>
        <v>729.19999999999993</v>
      </c>
    </row>
    <row r="114" spans="1:2">
      <c r="A114" s="79" t="s">
        <v>81</v>
      </c>
      <c r="B114" s="88">
        <f>B113*1000/(B88*3*B89)</f>
        <v>14.11647149851107</v>
      </c>
    </row>
    <row r="115" spans="1:2">
      <c r="A115" s="81" t="s">
        <v>82</v>
      </c>
      <c r="B115" s="91">
        <f>B114*100*$E$9/B75</f>
        <v>34.535514925313223</v>
      </c>
    </row>
    <row r="117" spans="1:2">
      <c r="A117" s="6" t="s">
        <v>8</v>
      </c>
    </row>
    <row r="118" spans="1:2">
      <c r="A118" t="s">
        <v>47</v>
      </c>
      <c r="B118">
        <v>80</v>
      </c>
    </row>
    <row r="119" spans="1:2">
      <c r="A119" s="8" t="s">
        <v>17</v>
      </c>
      <c r="B119">
        <v>1450</v>
      </c>
    </row>
    <row r="120" spans="1:2">
      <c r="A120" t="s">
        <v>83</v>
      </c>
      <c r="B120">
        <v>60</v>
      </c>
    </row>
    <row r="121" spans="1:2">
      <c r="A121" s="8" t="s">
        <v>84</v>
      </c>
      <c r="B121">
        <v>0.7</v>
      </c>
    </row>
    <row r="122" spans="1:2">
      <c r="A122" t="s">
        <v>85</v>
      </c>
      <c r="B122" s="11">
        <f>B119*1.0936*23.5*60*B121*B120/(840*B118)*0.4536</f>
        <v>633.86778419999985</v>
      </c>
    </row>
    <row r="123" spans="1:2">
      <c r="A123" t="s">
        <v>86</v>
      </c>
      <c r="B123" s="146">
        <v>12.77</v>
      </c>
    </row>
    <row r="124" spans="1:2">
      <c r="A124" t="s">
        <v>87</v>
      </c>
      <c r="B124" s="9">
        <f>690/5/24</f>
        <v>5.75</v>
      </c>
    </row>
    <row r="125" spans="1:2">
      <c r="A125" t="s">
        <v>88</v>
      </c>
      <c r="B125" s="9">
        <f>SUM(B123:B124)</f>
        <v>18.52</v>
      </c>
    </row>
    <row r="126" spans="1:2">
      <c r="A126" s="6" t="s">
        <v>35</v>
      </c>
      <c r="B126" s="7">
        <f>B125*23.5/B122</f>
        <v>0.68661006419388881</v>
      </c>
    </row>
    <row r="127" spans="1:2">
      <c r="A127" t="s">
        <v>89</v>
      </c>
      <c r="B127">
        <f>2*22.5</f>
        <v>45</v>
      </c>
    </row>
    <row r="128" spans="1:2">
      <c r="A128" t="s">
        <v>123</v>
      </c>
      <c r="B128" s="9">
        <f>1.5*22.5</f>
        <v>33.75</v>
      </c>
    </row>
    <row r="129" spans="1:2">
      <c r="A129" t="s">
        <v>124</v>
      </c>
      <c r="B129" s="9">
        <f>1.5*22.5</f>
        <v>33.75</v>
      </c>
    </row>
    <row r="130" spans="1:2">
      <c r="A130" t="s">
        <v>90</v>
      </c>
      <c r="B130" s="9">
        <f>2*22.5</f>
        <v>45</v>
      </c>
    </row>
    <row r="131" spans="1:2">
      <c r="A131" t="s">
        <v>41</v>
      </c>
      <c r="B131" s="9">
        <f>1*22.5</f>
        <v>22.5</v>
      </c>
    </row>
    <row r="132" spans="1:2">
      <c r="A132" t="s">
        <v>42</v>
      </c>
      <c r="B132" s="9">
        <f>2*22.5</f>
        <v>45</v>
      </c>
    </row>
    <row r="133" spans="1:2">
      <c r="A133" t="s">
        <v>91</v>
      </c>
      <c r="B133" s="9">
        <f>1*22.5</f>
        <v>22.5</v>
      </c>
    </row>
    <row r="134" spans="1:2">
      <c r="A134" t="s">
        <v>125</v>
      </c>
      <c r="B134" s="9">
        <f>3*8</f>
        <v>24</v>
      </c>
    </row>
    <row r="135" spans="1:2">
      <c r="A135" t="s">
        <v>126</v>
      </c>
      <c r="B135" s="9">
        <f>SUM(B127:B134)</f>
        <v>271.5</v>
      </c>
    </row>
    <row r="136" spans="1:2">
      <c r="A136" s="6" t="s">
        <v>31</v>
      </c>
      <c r="B136" s="12">
        <f>B135/5*100/B122</f>
        <v>8.5664552377483041</v>
      </c>
    </row>
    <row r="137" spans="1:2">
      <c r="A137" s="6" t="s">
        <v>92</v>
      </c>
    </row>
    <row r="138" spans="1:2">
      <c r="A138" t="s">
        <v>93</v>
      </c>
      <c r="B138">
        <v>952.56</v>
      </c>
    </row>
    <row r="139" spans="1:2">
      <c r="A139" t="s">
        <v>140</v>
      </c>
      <c r="B139">
        <v>2</v>
      </c>
    </row>
    <row r="140" spans="1:2">
      <c r="A140" t="s">
        <v>102</v>
      </c>
      <c r="B140" s="17">
        <f>B139*100/B138</f>
        <v>0.20996052742084489</v>
      </c>
    </row>
    <row r="141" spans="1:2">
      <c r="A141" t="s">
        <v>127</v>
      </c>
      <c r="B141">
        <v>0</v>
      </c>
    </row>
    <row r="142" spans="1:2">
      <c r="A142" t="s">
        <v>128</v>
      </c>
      <c r="B142">
        <v>0</v>
      </c>
    </row>
    <row r="143" spans="1:2">
      <c r="A143" t="s">
        <v>102</v>
      </c>
      <c r="B143" s="17"/>
    </row>
    <row r="144" spans="1:2">
      <c r="A144" t="s">
        <v>129</v>
      </c>
      <c r="B144" s="11">
        <v>6000</v>
      </c>
    </row>
    <row r="145" spans="1:2">
      <c r="A145" t="s">
        <v>130</v>
      </c>
      <c r="B145" s="9">
        <f>15*8</f>
        <v>120</v>
      </c>
    </row>
    <row r="146" spans="1:2">
      <c r="A146" t="s">
        <v>102</v>
      </c>
      <c r="B146" s="14">
        <f>B145*100/B144</f>
        <v>2</v>
      </c>
    </row>
    <row r="147" spans="1:2">
      <c r="A147" t="s">
        <v>131</v>
      </c>
      <c r="B147" s="11">
        <v>12000</v>
      </c>
    </row>
    <row r="148" spans="1:2">
      <c r="A148" t="s">
        <v>130</v>
      </c>
      <c r="B148" s="11">
        <f>2*8</f>
        <v>16</v>
      </c>
    </row>
    <row r="149" spans="1:2">
      <c r="A149" t="s">
        <v>31</v>
      </c>
      <c r="B149" s="17">
        <f>B148*100/B147</f>
        <v>0.13333333333333333</v>
      </c>
    </row>
    <row r="150" spans="1:2">
      <c r="A150" t="s">
        <v>132</v>
      </c>
      <c r="B150" s="11">
        <v>12000</v>
      </c>
    </row>
    <row r="151" spans="1:2">
      <c r="A151" t="s">
        <v>130</v>
      </c>
      <c r="B151" s="11">
        <f>4*8</f>
        <v>32</v>
      </c>
    </row>
    <row r="152" spans="1:2">
      <c r="A152" t="s">
        <v>31</v>
      </c>
      <c r="B152" s="17">
        <f>B151*100/B150</f>
        <v>0.26666666666666666</v>
      </c>
    </row>
    <row r="153" spans="1:2">
      <c r="A153" s="6" t="s">
        <v>31</v>
      </c>
      <c r="B153" s="12">
        <f>B140+B143+B146+B149+B152</f>
        <v>2.6099605274208448</v>
      </c>
    </row>
    <row r="154" spans="1:2">
      <c r="A154" t="s">
        <v>134</v>
      </c>
      <c r="B154" s="147">
        <v>1.5</v>
      </c>
    </row>
    <row r="155" spans="1:2">
      <c r="A155" t="s">
        <v>136</v>
      </c>
      <c r="B155">
        <v>30</v>
      </c>
    </row>
    <row r="156" spans="1:2">
      <c r="A156" t="s">
        <v>138</v>
      </c>
      <c r="B156">
        <v>0</v>
      </c>
    </row>
    <row r="157" spans="1:2">
      <c r="A157" t="s">
        <v>133</v>
      </c>
      <c r="B157" s="147">
        <v>0.5</v>
      </c>
    </row>
    <row r="158" spans="1:2">
      <c r="A158" t="s">
        <v>137</v>
      </c>
      <c r="B158" s="9">
        <v>0.75</v>
      </c>
    </row>
    <row r="159" spans="1:2">
      <c r="A159" t="s">
        <v>139</v>
      </c>
      <c r="B159" s="11">
        <v>0</v>
      </c>
    </row>
    <row r="160" spans="1:2">
      <c r="A160" t="s">
        <v>135</v>
      </c>
    </row>
    <row r="161" spans="1:2">
      <c r="A161" s="6" t="s">
        <v>15</v>
      </c>
      <c r="B161" s="7">
        <f>B154*0.5*B158/60*1.1</f>
        <v>1.03125E-2</v>
      </c>
    </row>
    <row r="163" spans="1:2">
      <c r="B163" s="9"/>
    </row>
    <row r="164" spans="1:2">
      <c r="A164" s="6" t="s">
        <v>94</v>
      </c>
      <c r="B164" s="18" t="str">
        <f>B69</f>
        <v>80s Micro Modal</v>
      </c>
    </row>
    <row r="165" spans="1:2">
      <c r="A165" s="6" t="s">
        <v>95</v>
      </c>
      <c r="B165" s="19">
        <f>B75</f>
        <v>41.121962764278948</v>
      </c>
    </row>
    <row r="166" spans="1:2">
      <c r="A166" s="6" t="s">
        <v>96</v>
      </c>
      <c r="B166" s="20">
        <f>B78</f>
        <v>3.6521499051981539</v>
      </c>
    </row>
    <row r="167" spans="1:2">
      <c r="A167" s="6" t="s">
        <v>64</v>
      </c>
      <c r="B167" s="20">
        <f>B92</f>
        <v>3.325363929950039</v>
      </c>
    </row>
    <row r="168" spans="1:2">
      <c r="A168" s="6" t="s">
        <v>97</v>
      </c>
      <c r="B168" s="20">
        <f>B161+B126+B67</f>
        <v>1.7992133850142547</v>
      </c>
    </row>
    <row r="169" spans="1:2">
      <c r="A169" s="6" t="s">
        <v>98</v>
      </c>
      <c r="B169" s="20">
        <f>SUM(B66+B94+B115)</f>
        <v>64.526725377942</v>
      </c>
    </row>
    <row r="170" spans="1:2">
      <c r="A170" s="6" t="s">
        <v>99</v>
      </c>
      <c r="B170" s="20">
        <f>B136</f>
        <v>8.5664552377483041</v>
      </c>
    </row>
    <row r="171" spans="1:2">
      <c r="A171" s="6" t="s">
        <v>100</v>
      </c>
      <c r="B171" s="20">
        <f>B153</f>
        <v>2.6099605274208448</v>
      </c>
    </row>
    <row r="172" spans="1:2">
      <c r="A172" s="6" t="s">
        <v>141</v>
      </c>
      <c r="B172" s="18"/>
    </row>
    <row r="173" spans="1:2">
      <c r="B173" s="107"/>
    </row>
    <row r="174" spans="1:2">
      <c r="A174" s="35" t="s">
        <v>184</v>
      </c>
      <c r="B174" s="78" t="s">
        <v>218</v>
      </c>
    </row>
    <row r="175" spans="1:2">
      <c r="A175" s="48" t="s">
        <v>185</v>
      </c>
      <c r="B175" s="129">
        <v>80</v>
      </c>
    </row>
    <row r="176" spans="1:2">
      <c r="A176" s="48" t="s">
        <v>149</v>
      </c>
      <c r="B176" s="82">
        <v>400</v>
      </c>
    </row>
    <row r="177" spans="1:2">
      <c r="A177" s="48" t="s">
        <v>150</v>
      </c>
      <c r="B177" s="82">
        <v>0.8</v>
      </c>
    </row>
    <row r="178" spans="1:2">
      <c r="A178" s="48" t="s">
        <v>186</v>
      </c>
      <c r="B178" s="82">
        <v>60</v>
      </c>
    </row>
    <row r="179" spans="1:2">
      <c r="A179" s="48" t="s">
        <v>187</v>
      </c>
      <c r="B179" s="88">
        <f>B176*1.0936*8*60*B178*B177*0.4536/(840*B175)</f>
        <v>68.030668800000001</v>
      </c>
    </row>
    <row r="180" spans="1:2">
      <c r="A180" s="48" t="s">
        <v>33</v>
      </c>
      <c r="B180" s="82">
        <v>3</v>
      </c>
    </row>
    <row r="181" spans="1:2">
      <c r="A181" s="48" t="s">
        <v>188</v>
      </c>
      <c r="B181" s="82">
        <f>B180*8*0.5</f>
        <v>12</v>
      </c>
    </row>
    <row r="182" spans="1:2">
      <c r="A182" s="38" t="s">
        <v>15</v>
      </c>
      <c r="B182" s="86">
        <f>B181/B179</f>
        <v>0.17639103380385995</v>
      </c>
    </row>
    <row r="183" spans="1:2">
      <c r="A183" s="40" t="s">
        <v>11</v>
      </c>
      <c r="B183" s="91">
        <f>8*100/B179</f>
        <v>11.759402253590663</v>
      </c>
    </row>
    <row r="184" spans="1:2">
      <c r="A184" s="8"/>
    </row>
    <row r="185" spans="1:2">
      <c r="A185" s="35" t="s">
        <v>189</v>
      </c>
      <c r="B185" s="62"/>
    </row>
    <row r="186" spans="1:2">
      <c r="A186" s="48" t="s">
        <v>190</v>
      </c>
      <c r="B186" s="82">
        <v>480</v>
      </c>
    </row>
    <row r="187" spans="1:2">
      <c r="A187" s="48" t="s">
        <v>191</v>
      </c>
      <c r="B187" s="82">
        <v>8700</v>
      </c>
    </row>
    <row r="188" spans="1:2">
      <c r="A188" s="48" t="s">
        <v>182</v>
      </c>
      <c r="B188" s="82">
        <v>22.1</v>
      </c>
    </row>
    <row r="189" spans="1:2">
      <c r="A189" s="48" t="s">
        <v>150</v>
      </c>
      <c r="B189" s="82">
        <v>0.88</v>
      </c>
    </row>
    <row r="190" spans="1:2">
      <c r="A190" s="48" t="s">
        <v>192</v>
      </c>
      <c r="B190" s="88">
        <f>7.2*B187*B189*B186*3/(B175*B188*1000)</f>
        <v>44.89672398190045</v>
      </c>
    </row>
    <row r="191" spans="1:2">
      <c r="A191" s="48" t="s">
        <v>193</v>
      </c>
      <c r="B191" s="140">
        <v>125</v>
      </c>
    </row>
    <row r="192" spans="1:2">
      <c r="A192" s="38" t="s">
        <v>15</v>
      </c>
      <c r="B192" s="86">
        <f>B191/B190</f>
        <v>2.7841675051924097</v>
      </c>
    </row>
    <row r="193" spans="1:2">
      <c r="A193" s="38" t="s">
        <v>11</v>
      </c>
      <c r="B193" s="86">
        <f>24/B190*100</f>
        <v>53.45601609969426</v>
      </c>
    </row>
    <row r="194" spans="1:2">
      <c r="A194" s="40" t="s">
        <v>95</v>
      </c>
      <c r="B194" s="94">
        <f>7.2*B187*B189/(B188*B175)</f>
        <v>31.178280542986425</v>
      </c>
    </row>
    <row r="195" spans="1:2">
      <c r="A195" s="35" t="s">
        <v>194</v>
      </c>
      <c r="B195" s="82"/>
    </row>
    <row r="196" spans="1:2">
      <c r="A196" s="48" t="s">
        <v>195</v>
      </c>
      <c r="B196" s="82">
        <v>60</v>
      </c>
    </row>
    <row r="197" spans="1:2">
      <c r="A197" s="48" t="s">
        <v>149</v>
      </c>
      <c r="B197" s="82">
        <v>450</v>
      </c>
    </row>
    <row r="198" spans="1:2">
      <c r="A198" s="48" t="s">
        <v>150</v>
      </c>
      <c r="B198" s="82">
        <v>0.65</v>
      </c>
    </row>
    <row r="199" spans="1:2">
      <c r="A199" s="48" t="s">
        <v>196</v>
      </c>
      <c r="B199" s="88">
        <f>B197*1.0936*480*B198*0.4536/(840*B175)*B196</f>
        <v>62.184283199999996</v>
      </c>
    </row>
    <row r="200" spans="1:2">
      <c r="A200" s="48" t="s">
        <v>197</v>
      </c>
      <c r="B200" s="82">
        <v>22.5</v>
      </c>
    </row>
    <row r="201" spans="1:2">
      <c r="A201" s="48" t="s">
        <v>33</v>
      </c>
      <c r="B201" s="82">
        <v>5.875</v>
      </c>
    </row>
    <row r="202" spans="1:2">
      <c r="A202" s="48" t="s">
        <v>188</v>
      </c>
      <c r="B202" s="82">
        <f>B201*8*0.5</f>
        <v>23.5</v>
      </c>
    </row>
    <row r="203" spans="1:2">
      <c r="A203" s="38" t="s">
        <v>15</v>
      </c>
      <c r="B203" s="86">
        <f>B202/B199</f>
        <v>0.37790899550000767</v>
      </c>
    </row>
    <row r="204" spans="1:2">
      <c r="A204" s="40" t="s">
        <v>11</v>
      </c>
      <c r="B204" s="91">
        <f>B200*100/B199</f>
        <v>36.182776164894349</v>
      </c>
    </row>
    <row r="205" spans="1:2">
      <c r="A205" s="6"/>
    </row>
    <row r="206" spans="1:2">
      <c r="A206" s="35" t="s">
        <v>198</v>
      </c>
      <c r="B206" s="131">
        <f>B194</f>
        <v>31.178280542986425</v>
      </c>
    </row>
    <row r="207" spans="1:2">
      <c r="A207" s="38" t="s">
        <v>199</v>
      </c>
      <c r="B207" s="86">
        <f>(B183+B193+B204)</f>
        <v>101.39819451817927</v>
      </c>
    </row>
    <row r="208" spans="1:2">
      <c r="A208" s="40" t="s">
        <v>200</v>
      </c>
      <c r="B208" s="91">
        <f>(B182+B192+B203)</f>
        <v>3.3384675344962771</v>
      </c>
    </row>
  </sheetData>
  <mergeCells count="2">
    <mergeCell ref="A2:F2"/>
    <mergeCell ref="B42:C42"/>
  </mergeCells>
  <phoneticPr fontId="0" type="noConversion"/>
  <pageMargins left="0.75" right="0.75" top="0.28999999999999998" bottom="0.38" header="0.22" footer="0.35"/>
  <pageSetup scale="82" orientation="portrait" r:id="rId1"/>
  <headerFooter alignWithMargins="0"/>
  <rowBreaks count="2" manualBreakCount="2">
    <brk id="65" max="16383" man="1"/>
    <brk id="13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H208"/>
  <sheetViews>
    <sheetView workbookViewId="0">
      <selection activeCell="B170" sqref="B170"/>
    </sheetView>
  </sheetViews>
  <sheetFormatPr defaultRowHeight="12.75"/>
  <cols>
    <col min="1" max="1" width="23.140625" customWidth="1"/>
    <col min="2" max="2" width="14.140625" customWidth="1"/>
    <col min="3" max="3" width="9.42578125" bestFit="1" customWidth="1"/>
  </cols>
  <sheetData>
    <row r="1" spans="1:8">
      <c r="A1" s="6" t="s">
        <v>142</v>
      </c>
    </row>
    <row r="2" spans="1:8">
      <c r="A2" s="269" t="s">
        <v>103</v>
      </c>
      <c r="B2" s="270"/>
      <c r="C2" s="270"/>
      <c r="D2" s="270"/>
      <c r="E2" s="270"/>
      <c r="F2" s="271"/>
      <c r="G2" s="3"/>
      <c r="H2" s="3"/>
    </row>
    <row r="3" spans="1:8">
      <c r="A3" s="28" t="s">
        <v>178</v>
      </c>
      <c r="B3" s="1"/>
      <c r="C3" s="1" t="s">
        <v>0</v>
      </c>
      <c r="D3" s="1"/>
      <c r="E3" s="2" t="s">
        <v>1</v>
      </c>
      <c r="F3" s="1"/>
      <c r="G3" s="3"/>
      <c r="H3" s="3"/>
    </row>
    <row r="4" spans="1:8">
      <c r="A4" s="1"/>
      <c r="B4" s="1" t="s">
        <v>2</v>
      </c>
      <c r="C4" s="1"/>
      <c r="D4" s="1">
        <v>100</v>
      </c>
      <c r="E4" s="4">
        <f>D4/$D$12</f>
        <v>1.0732342437618931</v>
      </c>
      <c r="F4" s="1"/>
      <c r="G4" s="3"/>
      <c r="H4" s="3"/>
    </row>
    <row r="5" spans="1:8">
      <c r="A5" s="1"/>
      <c r="B5" s="1" t="s">
        <v>3</v>
      </c>
      <c r="C5" s="1">
        <v>0.3</v>
      </c>
      <c r="D5" s="1">
        <f>D4-C5</f>
        <v>99.7</v>
      </c>
      <c r="E5" s="4">
        <f t="shared" ref="E5:E12" si="0">D5/$D$12</f>
        <v>1.0700145410306074</v>
      </c>
      <c r="F5" s="1"/>
      <c r="G5" s="3"/>
      <c r="H5" s="3"/>
    </row>
    <row r="6" spans="1:8">
      <c r="A6" s="1"/>
      <c r="B6" s="1" t="s">
        <v>4</v>
      </c>
      <c r="C6" s="1">
        <v>2.5</v>
      </c>
      <c r="D6" s="5">
        <f t="shared" ref="D6:D12" si="1">D5-D5*(C6/100)</f>
        <v>97.207499999999996</v>
      </c>
      <c r="E6" s="4">
        <f t="shared" si="0"/>
        <v>1.0432641775048421</v>
      </c>
      <c r="F6" s="1"/>
      <c r="G6" s="3"/>
      <c r="H6" s="3"/>
    </row>
    <row r="7" spans="1:8">
      <c r="A7" s="1"/>
      <c r="B7" s="1" t="s">
        <v>5</v>
      </c>
      <c r="C7" s="1">
        <v>0.5</v>
      </c>
      <c r="D7" s="5">
        <f t="shared" si="1"/>
        <v>96.721462500000001</v>
      </c>
      <c r="E7" s="4">
        <f t="shared" si="0"/>
        <v>1.0380478566173181</v>
      </c>
      <c r="F7" s="1"/>
      <c r="G7" s="3"/>
      <c r="H7" s="3"/>
    </row>
    <row r="8" spans="1:8">
      <c r="A8" s="1"/>
      <c r="B8" s="1" t="s">
        <v>6</v>
      </c>
      <c r="C8" s="1">
        <v>0.2</v>
      </c>
      <c r="D8" s="5">
        <f t="shared" si="1"/>
        <v>96.528019575000002</v>
      </c>
      <c r="E8" s="4">
        <f t="shared" si="0"/>
        <v>1.0359717609040835</v>
      </c>
      <c r="F8" s="1"/>
      <c r="G8" s="3"/>
      <c r="H8" s="3"/>
    </row>
    <row r="9" spans="1:8">
      <c r="A9" s="1"/>
      <c r="B9" s="1" t="s">
        <v>7</v>
      </c>
      <c r="C9" s="1">
        <v>2.5</v>
      </c>
      <c r="D9" s="5">
        <f t="shared" si="1"/>
        <v>94.114819085625001</v>
      </c>
      <c r="E9" s="4">
        <f t="shared" si="0"/>
        <v>1.0100724668814813</v>
      </c>
      <c r="F9" s="1"/>
      <c r="G9" s="3"/>
      <c r="H9" s="3"/>
    </row>
    <row r="10" spans="1:8">
      <c r="A10" s="1"/>
      <c r="B10" s="1" t="s">
        <v>8</v>
      </c>
      <c r="C10" s="1">
        <v>0.6</v>
      </c>
      <c r="D10" s="5">
        <f t="shared" si="1"/>
        <v>93.550130171111249</v>
      </c>
      <c r="E10" s="4">
        <f t="shared" si="0"/>
        <v>1.0040120320801924</v>
      </c>
      <c r="F10" s="1"/>
      <c r="G10" s="3"/>
      <c r="H10" s="3"/>
    </row>
    <row r="11" spans="1:8">
      <c r="A11" s="3"/>
      <c r="B11" s="132" t="s">
        <v>184</v>
      </c>
      <c r="C11" s="133">
        <v>0.2</v>
      </c>
      <c r="D11" s="5">
        <f t="shared" si="1"/>
        <v>93.363029910769029</v>
      </c>
      <c r="E11" s="4">
        <f t="shared" si="0"/>
        <v>1.002004008016032</v>
      </c>
      <c r="F11" s="3"/>
      <c r="G11" s="3"/>
      <c r="H11" s="3"/>
    </row>
    <row r="12" spans="1:8">
      <c r="A12" s="3"/>
      <c r="B12" s="136" t="s">
        <v>180</v>
      </c>
      <c r="C12" s="137">
        <v>0.2</v>
      </c>
      <c r="D12" s="5">
        <f t="shared" si="1"/>
        <v>93.176303850947491</v>
      </c>
      <c r="E12" s="4">
        <f t="shared" si="0"/>
        <v>1</v>
      </c>
      <c r="F12" s="3"/>
      <c r="G12" s="3"/>
      <c r="H12" s="3"/>
    </row>
    <row r="14" spans="1:8">
      <c r="A14" s="35" t="s">
        <v>2</v>
      </c>
      <c r="B14" s="36"/>
      <c r="C14" s="35" t="s">
        <v>104</v>
      </c>
      <c r="D14" s="22"/>
      <c r="E14" s="22" t="s">
        <v>111</v>
      </c>
      <c r="F14" s="36">
        <f>2*22.5</f>
        <v>45</v>
      </c>
    </row>
    <row r="15" spans="1:8">
      <c r="A15" s="23" t="s">
        <v>9</v>
      </c>
      <c r="B15" s="37">
        <f>5*8</f>
        <v>40</v>
      </c>
      <c r="C15" s="23" t="s">
        <v>105</v>
      </c>
      <c r="D15" s="3">
        <v>26.25</v>
      </c>
      <c r="E15" s="3" t="s">
        <v>112</v>
      </c>
      <c r="F15" s="37">
        <f>1*22.5</f>
        <v>22.5</v>
      </c>
    </row>
    <row r="16" spans="1:8">
      <c r="A16" s="23" t="s">
        <v>10</v>
      </c>
      <c r="B16" s="37">
        <v>9000</v>
      </c>
      <c r="C16" s="23" t="s">
        <v>106</v>
      </c>
      <c r="D16" s="3">
        <v>6</v>
      </c>
      <c r="E16" s="3" t="s">
        <v>113</v>
      </c>
      <c r="F16" s="37">
        <v>22.5</v>
      </c>
    </row>
    <row r="17" spans="1:6">
      <c r="A17" s="38" t="s">
        <v>11</v>
      </c>
      <c r="B17" s="39">
        <f>B15*100*E4/B16</f>
        <v>0.47699299722750804</v>
      </c>
      <c r="C17" s="23" t="s">
        <v>107</v>
      </c>
      <c r="D17" s="3">
        <v>0.85</v>
      </c>
      <c r="E17" s="3" t="s">
        <v>114</v>
      </c>
      <c r="F17" s="37">
        <v>22.5</v>
      </c>
    </row>
    <row r="18" spans="1:6">
      <c r="A18" s="23" t="s">
        <v>12</v>
      </c>
      <c r="B18" s="37">
        <f>15*8</f>
        <v>120</v>
      </c>
      <c r="C18" s="23" t="s">
        <v>108</v>
      </c>
      <c r="D18" s="42">
        <f>2*60*D15*D17/D16</f>
        <v>446.25</v>
      </c>
      <c r="E18" s="3" t="s">
        <v>115</v>
      </c>
      <c r="F18" s="37">
        <f>3*8</f>
        <v>24</v>
      </c>
    </row>
    <row r="19" spans="1:6">
      <c r="A19" s="23" t="s">
        <v>10</v>
      </c>
      <c r="B19" s="37">
        <v>9000</v>
      </c>
      <c r="C19" s="23" t="s">
        <v>109</v>
      </c>
      <c r="D19" s="42">
        <f>B30*D18</f>
        <v>7394.3625000000002</v>
      </c>
      <c r="E19" s="3"/>
      <c r="F19" s="43">
        <f>SUM(F14:F18)</f>
        <v>136.5</v>
      </c>
    </row>
    <row r="20" spans="1:6">
      <c r="A20" s="38" t="s">
        <v>11</v>
      </c>
      <c r="B20" s="39">
        <f>B18*100*E4/B19</f>
        <v>1.4309789916825242</v>
      </c>
      <c r="C20" s="23" t="s">
        <v>33</v>
      </c>
      <c r="D20" s="119">
        <v>98.2</v>
      </c>
      <c r="E20" s="24" t="s">
        <v>11</v>
      </c>
      <c r="F20" s="39">
        <f>F19*100*E5/D19</f>
        <v>1.9752478303664165</v>
      </c>
    </row>
    <row r="21" spans="1:6">
      <c r="A21" s="23" t="s">
        <v>13</v>
      </c>
      <c r="B21" s="120">
        <v>5.25</v>
      </c>
      <c r="C21" s="23" t="s">
        <v>110</v>
      </c>
      <c r="D21" s="3">
        <f>D20*0.5*0.9</f>
        <v>44.190000000000005</v>
      </c>
      <c r="E21" s="3"/>
      <c r="F21" s="37"/>
    </row>
    <row r="22" spans="1:6">
      <c r="A22" s="23" t="s">
        <v>14</v>
      </c>
      <c r="B22" s="120">
        <v>500</v>
      </c>
      <c r="C22" s="23"/>
      <c r="D22" s="3"/>
      <c r="E22" s="3"/>
      <c r="F22" s="37"/>
    </row>
    <row r="23" spans="1:6">
      <c r="A23" s="40" t="s">
        <v>15</v>
      </c>
      <c r="B23" s="41">
        <f>B21*0.5*E4/B22</f>
        <v>5.6344797797499395E-3</v>
      </c>
      <c r="C23" s="40" t="s">
        <v>15</v>
      </c>
      <c r="D23" s="45">
        <f>D21*B31*E5/D19</f>
        <v>0.14387835432509663</v>
      </c>
      <c r="E23" s="26"/>
      <c r="F23" s="46"/>
    </row>
    <row r="24" spans="1:6">
      <c r="A24" s="35" t="s">
        <v>159</v>
      </c>
      <c r="B24" s="47" t="s">
        <v>146</v>
      </c>
      <c r="C24" s="6"/>
    </row>
    <row r="25" spans="1:6">
      <c r="A25" s="48" t="s">
        <v>16</v>
      </c>
      <c r="B25" s="37">
        <v>0.18</v>
      </c>
    </row>
    <row r="26" spans="1:6">
      <c r="A26" s="48" t="s">
        <v>17</v>
      </c>
      <c r="B26" s="37">
        <v>80</v>
      </c>
    </row>
    <row r="27" spans="1:6">
      <c r="A27" s="48" t="s">
        <v>18</v>
      </c>
      <c r="B27" s="37">
        <v>0.85</v>
      </c>
    </row>
    <row r="28" spans="1:6">
      <c r="A28" s="48" t="s">
        <v>19</v>
      </c>
      <c r="B28" s="49">
        <f>B26*1.0936*60*B27*0.4536/(840*B25)</f>
        <v>13.385664</v>
      </c>
      <c r="C28" s="9"/>
    </row>
    <row r="29" spans="1:6">
      <c r="A29" s="48" t="s">
        <v>20</v>
      </c>
      <c r="B29" s="37">
        <v>4</v>
      </c>
    </row>
    <row r="30" spans="1:6">
      <c r="A30" s="48" t="s">
        <v>21</v>
      </c>
      <c r="B30" s="121">
        <v>16.57</v>
      </c>
      <c r="C30" s="122"/>
    </row>
    <row r="31" spans="1:6">
      <c r="A31" s="48" t="s">
        <v>22</v>
      </c>
      <c r="B31" s="37">
        <v>22.5</v>
      </c>
    </row>
    <row r="32" spans="1:6">
      <c r="A32" s="48" t="s">
        <v>23</v>
      </c>
      <c r="B32" s="50">
        <f>B31*B28*B29</f>
        <v>1204.70976</v>
      </c>
      <c r="C32" s="11"/>
    </row>
    <row r="33" spans="1:5">
      <c r="A33" s="48" t="s">
        <v>25</v>
      </c>
      <c r="B33" s="49">
        <v>22.5</v>
      </c>
    </row>
    <row r="34" spans="1:5">
      <c r="A34" s="38" t="s">
        <v>102</v>
      </c>
      <c r="B34" s="76">
        <f>B33*100*E7/B32</f>
        <v>1.9387306012935148</v>
      </c>
    </row>
    <row r="35" spans="1:5">
      <c r="A35" s="48" t="s">
        <v>26</v>
      </c>
      <c r="B35" s="49">
        <f>B30*0.55*B27</f>
        <v>7.7464750000000002</v>
      </c>
    </row>
    <row r="36" spans="1:5">
      <c r="A36" s="38" t="s">
        <v>15</v>
      </c>
      <c r="B36" s="39">
        <f>B35*B29*E7/B32*B31</f>
        <v>0.60073312538620716</v>
      </c>
    </row>
    <row r="37" spans="1:5">
      <c r="A37" s="35" t="s">
        <v>5</v>
      </c>
      <c r="B37" s="70" t="s">
        <v>27</v>
      </c>
      <c r="C37" s="62" t="s">
        <v>28</v>
      </c>
    </row>
    <row r="38" spans="1:5">
      <c r="A38" s="23" t="s">
        <v>16</v>
      </c>
      <c r="B38" s="56">
        <v>0.105</v>
      </c>
      <c r="C38" s="63">
        <v>0.11</v>
      </c>
      <c r="E38" s="11"/>
    </row>
    <row r="39" spans="1:5">
      <c r="A39" s="23" t="s">
        <v>17</v>
      </c>
      <c r="B39" s="56">
        <v>220</v>
      </c>
      <c r="C39" s="63">
        <v>400</v>
      </c>
    </row>
    <row r="40" spans="1:5">
      <c r="A40" s="48" t="s">
        <v>18</v>
      </c>
      <c r="B40" s="56">
        <v>0.85</v>
      </c>
      <c r="C40" s="63">
        <v>0.85</v>
      </c>
    </row>
    <row r="41" spans="1:5">
      <c r="A41" s="48" t="s">
        <v>29</v>
      </c>
      <c r="B41" s="57">
        <f>24*60*B39*1.0936*B40*2*0.4536/(840*B38)</f>
        <v>3028.9845394285708</v>
      </c>
      <c r="C41" s="64">
        <f>24*60*C39*1.0936*C40*0.4536/(840*C38)</f>
        <v>2628.4576581818178</v>
      </c>
    </row>
    <row r="42" spans="1:5">
      <c r="A42" s="48" t="s">
        <v>30</v>
      </c>
      <c r="B42" s="56">
        <f>4*22.5/9</f>
        <v>10</v>
      </c>
      <c r="C42" s="63">
        <f>4*22.5/9</f>
        <v>10</v>
      </c>
    </row>
    <row r="43" spans="1:5">
      <c r="A43" s="71" t="s">
        <v>31</v>
      </c>
      <c r="B43" s="72">
        <f>B42*100*E7/B41</f>
        <v>0.3427049042690557</v>
      </c>
      <c r="C43" s="65">
        <f>C42*100*E7/C41</f>
        <v>0.39492660396719748</v>
      </c>
    </row>
    <row r="44" spans="1:5">
      <c r="A44" s="38" t="s">
        <v>32</v>
      </c>
      <c r="B44" s="272">
        <f>B43+C43</f>
        <v>0.73763150823625323</v>
      </c>
      <c r="C44" s="273"/>
    </row>
    <row r="45" spans="1:5">
      <c r="A45" s="73" t="s">
        <v>33</v>
      </c>
      <c r="B45" s="74">
        <v>7.5</v>
      </c>
      <c r="C45" s="66">
        <v>12.33</v>
      </c>
    </row>
    <row r="46" spans="1:5">
      <c r="A46" s="48" t="s">
        <v>34</v>
      </c>
      <c r="B46" s="59">
        <f>B45*0.5*B40*24</f>
        <v>76.5</v>
      </c>
      <c r="C46" s="67">
        <f>C45*0.5*C40*24</f>
        <v>125.76599999999999</v>
      </c>
    </row>
    <row r="47" spans="1:5">
      <c r="A47" s="48" t="s">
        <v>35</v>
      </c>
      <c r="B47" s="60">
        <f>B46*E7/B41</f>
        <v>2.6216925176582761E-2</v>
      </c>
      <c r="C47" s="68">
        <f>C46*E7/C41</f>
        <v>4.966833927453855E-2</v>
      </c>
    </row>
    <row r="48" spans="1:5">
      <c r="A48" s="40" t="s">
        <v>36</v>
      </c>
      <c r="B48" s="61">
        <f>B47+C47</f>
        <v>7.5885264451121315E-2</v>
      </c>
      <c r="C48" s="69"/>
    </row>
    <row r="49" spans="1:2">
      <c r="A49" s="35" t="s">
        <v>6</v>
      </c>
      <c r="B49" s="36"/>
    </row>
    <row r="50" spans="1:2">
      <c r="A50" s="48" t="s">
        <v>16</v>
      </c>
      <c r="B50" s="37">
        <v>0.9</v>
      </c>
    </row>
    <row r="51" spans="1:2">
      <c r="A51" s="48" t="s">
        <v>37</v>
      </c>
      <c r="B51" s="37">
        <v>0.755</v>
      </c>
    </row>
    <row r="52" spans="1:2">
      <c r="A52" s="48" t="s">
        <v>38</v>
      </c>
      <c r="B52" s="37">
        <v>950</v>
      </c>
    </row>
    <row r="53" spans="1:2">
      <c r="A53" s="48" t="s">
        <v>39</v>
      </c>
      <c r="B53" s="37">
        <v>120</v>
      </c>
    </row>
    <row r="54" spans="1:2">
      <c r="A54" s="48" t="s">
        <v>18</v>
      </c>
      <c r="B54" s="37">
        <v>0.85</v>
      </c>
    </row>
    <row r="55" spans="1:2">
      <c r="A55" s="48" t="s">
        <v>29</v>
      </c>
      <c r="B55" s="50">
        <f>7.2*B52*B54*B53*3/(B50*B51*1000)</f>
        <v>3080.2649006622519</v>
      </c>
    </row>
    <row r="56" spans="1:2">
      <c r="A56" s="48" t="s">
        <v>30</v>
      </c>
      <c r="B56" s="37">
        <f>7*22.5</f>
        <v>157.5</v>
      </c>
    </row>
    <row r="57" spans="1:2">
      <c r="A57" s="48" t="s">
        <v>40</v>
      </c>
      <c r="B57" s="37">
        <f>6*22.5</f>
        <v>135</v>
      </c>
    </row>
    <row r="58" spans="1:2">
      <c r="A58" s="48" t="s">
        <v>41</v>
      </c>
      <c r="B58" s="37">
        <f>1*22.5</f>
        <v>22.5</v>
      </c>
    </row>
    <row r="59" spans="1:2">
      <c r="A59" s="48" t="s">
        <v>24</v>
      </c>
      <c r="B59" s="50">
        <f>1*8</f>
        <v>8</v>
      </c>
    </row>
    <row r="60" spans="1:2">
      <c r="A60" s="48" t="s">
        <v>116</v>
      </c>
      <c r="B60" s="37">
        <f>1*22.5</f>
        <v>22.5</v>
      </c>
    </row>
    <row r="61" spans="1:2">
      <c r="A61" s="48" t="s">
        <v>42</v>
      </c>
      <c r="B61" s="37">
        <f>2*22.5</f>
        <v>45</v>
      </c>
    </row>
    <row r="62" spans="1:2">
      <c r="A62" s="48" t="s">
        <v>43</v>
      </c>
      <c r="B62" s="51">
        <f>SUM(B56:B61)</f>
        <v>390.5</v>
      </c>
    </row>
    <row r="63" spans="1:2">
      <c r="A63" s="48" t="s">
        <v>117</v>
      </c>
      <c r="B63" s="50">
        <v>7</v>
      </c>
    </row>
    <row r="64" spans="1:2">
      <c r="A64" s="38" t="s">
        <v>11</v>
      </c>
      <c r="B64" s="76">
        <f>B62/B63*100*E8/B55</f>
        <v>1.8762160569189434</v>
      </c>
    </row>
    <row r="65" spans="1:6">
      <c r="A65" s="48" t="s">
        <v>33</v>
      </c>
      <c r="B65" s="37">
        <v>12.62</v>
      </c>
    </row>
    <row r="66" spans="1:6">
      <c r="A66" s="48" t="s">
        <v>34</v>
      </c>
      <c r="B66" s="50">
        <f>B65*0.5*24*B54</f>
        <v>128.72399999999999</v>
      </c>
    </row>
    <row r="67" spans="1:6">
      <c r="A67" s="40" t="s">
        <v>15</v>
      </c>
      <c r="B67" s="41">
        <f>B66*E8/B55</f>
        <v>4.3293169013465777E-2</v>
      </c>
    </row>
    <row r="68" spans="1:6">
      <c r="A68" s="6" t="s">
        <v>44</v>
      </c>
      <c r="B68" s="7">
        <f>B17+B20+F20+B34+B44+B64</f>
        <v>8.435797985725161</v>
      </c>
      <c r="C68" s="7"/>
      <c r="D68" s="7"/>
      <c r="E68" s="7"/>
      <c r="F68" s="7"/>
    </row>
    <row r="69" spans="1:6">
      <c r="A69" s="6" t="s">
        <v>45</v>
      </c>
      <c r="B69" s="7">
        <f>B23+D23+B36+B48+B67</f>
        <v>0.86942439295564089</v>
      </c>
      <c r="C69" s="7"/>
      <c r="D69" s="7"/>
      <c r="E69" s="7"/>
      <c r="F69" s="7"/>
    </row>
    <row r="71" spans="1:6">
      <c r="A71" s="35" t="s">
        <v>46</v>
      </c>
      <c r="B71" s="127" t="s">
        <v>179</v>
      </c>
      <c r="D71" s="13"/>
      <c r="E71" s="13"/>
    </row>
    <row r="72" spans="1:6">
      <c r="A72" s="48" t="s">
        <v>47</v>
      </c>
      <c r="B72" s="134">
        <v>20</v>
      </c>
    </row>
    <row r="73" spans="1:6">
      <c r="A73" s="48" t="s">
        <v>48</v>
      </c>
      <c r="B73" s="37">
        <v>14.97</v>
      </c>
    </row>
    <row r="74" spans="1:6">
      <c r="A74" s="48" t="s">
        <v>38</v>
      </c>
      <c r="B74" s="37">
        <v>12775</v>
      </c>
    </row>
    <row r="75" spans="1:6">
      <c r="A75" s="48" t="s">
        <v>18</v>
      </c>
      <c r="B75" s="37">
        <v>0.92500000000000004</v>
      </c>
    </row>
    <row r="76" spans="1:6">
      <c r="A76" s="48" t="s">
        <v>49</v>
      </c>
      <c r="B76" s="37">
        <v>0.95499999999999996</v>
      </c>
    </row>
    <row r="77" spans="1:6">
      <c r="A77" s="38" t="s">
        <v>50</v>
      </c>
      <c r="B77" s="93">
        <f>7.2*B74*B75/(B72*B73)</f>
        <v>284.17334669338675</v>
      </c>
      <c r="D77" s="16"/>
      <c r="E77" s="16"/>
    </row>
    <row r="78" spans="1:6">
      <c r="A78" s="48" t="s">
        <v>51</v>
      </c>
      <c r="B78" s="123">
        <v>0.95</v>
      </c>
      <c r="D78" s="124"/>
      <c r="E78" s="124"/>
    </row>
    <row r="79" spans="1:6">
      <c r="A79" s="48" t="s">
        <v>52</v>
      </c>
      <c r="B79" s="52">
        <f>B78*(7.5+80/B72+500/B73/B73)*(B74/10000)*(B74/10000)</f>
        <v>21.288837649824604</v>
      </c>
      <c r="D79" s="17"/>
      <c r="E79" s="17"/>
    </row>
    <row r="80" spans="1:6">
      <c r="A80" s="38" t="s">
        <v>101</v>
      </c>
      <c r="B80" s="39">
        <f>B79*8*$E$9/B77</f>
        <v>0.60535638580345763</v>
      </c>
      <c r="D80" s="7"/>
      <c r="E80" s="7"/>
    </row>
    <row r="81" spans="1:6">
      <c r="A81" s="48" t="s">
        <v>118</v>
      </c>
      <c r="B81" s="37">
        <v>9.6</v>
      </c>
    </row>
    <row r="82" spans="1:6">
      <c r="A82" s="48" t="s">
        <v>53</v>
      </c>
      <c r="B82" s="52">
        <f>B81*0.55*24*0.98/(1.008*B77*3)*$E$9</f>
        <v>0.14596833161610798</v>
      </c>
      <c r="D82" s="17"/>
      <c r="E82" s="17"/>
    </row>
    <row r="83" spans="1:6">
      <c r="A83" s="48" t="s">
        <v>54</v>
      </c>
      <c r="B83" s="37"/>
    </row>
    <row r="84" spans="1:6">
      <c r="A84" s="48" t="s">
        <v>55</v>
      </c>
      <c r="B84" s="37">
        <v>900</v>
      </c>
    </row>
    <row r="85" spans="1:6">
      <c r="A85" s="48" t="s">
        <v>56</v>
      </c>
      <c r="B85" s="37">
        <v>1440</v>
      </c>
    </row>
    <row r="86" spans="1:6">
      <c r="A86" s="48" t="s">
        <v>57</v>
      </c>
      <c r="B86" s="37">
        <v>2460</v>
      </c>
    </row>
    <row r="87" spans="1:6">
      <c r="A87" s="48" t="s">
        <v>58</v>
      </c>
      <c r="B87" s="37">
        <v>50</v>
      </c>
    </row>
    <row r="88" spans="1:6">
      <c r="A88" s="48" t="s">
        <v>119</v>
      </c>
      <c r="B88" s="37">
        <v>50</v>
      </c>
    </row>
    <row r="89" spans="1:6">
      <c r="A89" s="48" t="s">
        <v>59</v>
      </c>
      <c r="B89" s="37">
        <f>SUM(B84:B88)</f>
        <v>4900</v>
      </c>
    </row>
    <row r="90" spans="1:6">
      <c r="A90" s="48" t="s">
        <v>60</v>
      </c>
      <c r="B90" s="37">
        <v>18144</v>
      </c>
    </row>
    <row r="91" spans="1:6">
      <c r="A91" s="48" t="s">
        <v>61</v>
      </c>
      <c r="B91" s="87">
        <v>0.94799999999999995</v>
      </c>
      <c r="D91" s="125"/>
      <c r="E91" s="125"/>
      <c r="F91" s="125"/>
    </row>
    <row r="92" spans="1:6">
      <c r="A92" s="48" t="s">
        <v>62</v>
      </c>
      <c r="B92" s="49">
        <f>B89*1000/(B90*3*B91)</f>
        <v>94.9584136410203</v>
      </c>
      <c r="D92" s="9"/>
      <c r="E92" s="9"/>
    </row>
    <row r="93" spans="1:6">
      <c r="A93" s="48" t="s">
        <v>63</v>
      </c>
      <c r="B93" s="52">
        <f>B92*$E$9/B77</f>
        <v>0.33752243211262994</v>
      </c>
      <c r="D93" s="17"/>
      <c r="E93" s="17"/>
    </row>
    <row r="94" spans="1:6">
      <c r="A94" s="38" t="s">
        <v>64</v>
      </c>
      <c r="B94" s="39">
        <f>(B93+B82)</f>
        <v>0.48349076372873789</v>
      </c>
      <c r="D94" s="7"/>
      <c r="E94" s="7"/>
    </row>
    <row r="95" spans="1:6">
      <c r="A95" s="48" t="s">
        <v>65</v>
      </c>
      <c r="B95" s="120">
        <f>3*504</f>
        <v>1512</v>
      </c>
      <c r="D95" s="125"/>
      <c r="E95" s="125"/>
      <c r="F95" s="125"/>
    </row>
    <row r="96" spans="1:6">
      <c r="A96" s="38" t="s">
        <v>66</v>
      </c>
      <c r="B96" s="76">
        <f>7.5*100*$E$9/(B95*B77/1000)*7/6</f>
        <v>2.0569581362749703</v>
      </c>
      <c r="D96" s="12"/>
      <c r="E96" s="12"/>
    </row>
    <row r="97" spans="1:5">
      <c r="A97" s="48" t="s">
        <v>67</v>
      </c>
      <c r="B97" s="123">
        <v>8400</v>
      </c>
      <c r="D97" s="124"/>
      <c r="E97" s="124"/>
    </row>
    <row r="98" spans="1:5">
      <c r="A98" s="48" t="s">
        <v>68</v>
      </c>
      <c r="B98" s="120">
        <f>12*22.5</f>
        <v>270</v>
      </c>
      <c r="D98" s="125"/>
      <c r="E98" s="125"/>
    </row>
    <row r="99" spans="1:5">
      <c r="A99" s="38" t="s">
        <v>69</v>
      </c>
      <c r="B99" s="76">
        <f>B98*100*$E$9/B97</f>
        <v>3.2466615006904758</v>
      </c>
      <c r="D99" s="12"/>
      <c r="E99" s="12"/>
    </row>
    <row r="100" spans="1:5">
      <c r="A100" s="48" t="s">
        <v>70</v>
      </c>
      <c r="B100" s="37"/>
    </row>
    <row r="101" spans="1:5">
      <c r="A101" s="48" t="s">
        <v>41</v>
      </c>
      <c r="B101" s="37">
        <f>1*22.5</f>
        <v>22.5</v>
      </c>
    </row>
    <row r="102" spans="1:5">
      <c r="A102" s="48" t="s">
        <v>71</v>
      </c>
      <c r="B102" s="37">
        <f>1*22.5</f>
        <v>22.5</v>
      </c>
    </row>
    <row r="103" spans="1:5">
      <c r="A103" s="48" t="s">
        <v>72</v>
      </c>
      <c r="B103" s="37">
        <f>3*22.5</f>
        <v>67.5</v>
      </c>
    </row>
    <row r="104" spans="1:5">
      <c r="A104" s="48" t="s">
        <v>120</v>
      </c>
      <c r="B104" s="37">
        <f>12*8</f>
        <v>96</v>
      </c>
    </row>
    <row r="105" spans="1:5">
      <c r="A105" s="48" t="s">
        <v>73</v>
      </c>
      <c r="B105" s="37">
        <f>26*8</f>
        <v>208</v>
      </c>
    </row>
    <row r="106" spans="1:5">
      <c r="A106" s="48" t="s">
        <v>74</v>
      </c>
      <c r="B106" s="37">
        <f>3*8</f>
        <v>24</v>
      </c>
    </row>
    <row r="107" spans="1:5">
      <c r="A107" s="48" t="s">
        <v>42</v>
      </c>
      <c r="B107" s="37">
        <f>5*22.5</f>
        <v>112.5</v>
      </c>
    </row>
    <row r="108" spans="1:5">
      <c r="A108" s="48" t="s">
        <v>75</v>
      </c>
      <c r="B108" s="37">
        <f>3*7</f>
        <v>21</v>
      </c>
    </row>
    <row r="109" spans="1:5">
      <c r="A109" s="48" t="s">
        <v>76</v>
      </c>
      <c r="B109" s="50">
        <f>58*0.8</f>
        <v>46.400000000000006</v>
      </c>
      <c r="D109" s="11"/>
      <c r="E109" s="11"/>
    </row>
    <row r="110" spans="1:5">
      <c r="A110" s="48" t="s">
        <v>122</v>
      </c>
      <c r="B110" s="50">
        <f>9*8*0.8</f>
        <v>57.6</v>
      </c>
      <c r="D110" s="11"/>
      <c r="E110" s="11"/>
    </row>
    <row r="111" spans="1:5">
      <c r="A111" s="48" t="s">
        <v>121</v>
      </c>
      <c r="B111" s="50">
        <f>1*8*0.8</f>
        <v>6.4</v>
      </c>
      <c r="D111" s="11"/>
      <c r="E111" s="11"/>
    </row>
    <row r="112" spans="1:5">
      <c r="A112" s="48" t="s">
        <v>77</v>
      </c>
      <c r="B112" s="50">
        <f>1*8*0.8</f>
        <v>6.4</v>
      </c>
      <c r="D112" s="11"/>
      <c r="E112" s="11"/>
    </row>
    <row r="113" spans="1:5">
      <c r="A113" s="48" t="s">
        <v>78</v>
      </c>
      <c r="B113" s="50">
        <f>2*8*0.8</f>
        <v>12.8</v>
      </c>
      <c r="D113" s="11"/>
      <c r="E113" s="11"/>
    </row>
    <row r="114" spans="1:5">
      <c r="A114" s="48" t="s">
        <v>79</v>
      </c>
      <c r="B114" s="50">
        <f>4*8*0.8</f>
        <v>25.6</v>
      </c>
      <c r="D114" s="11"/>
      <c r="E114" s="11"/>
    </row>
    <row r="115" spans="1:5">
      <c r="A115" s="48" t="s">
        <v>80</v>
      </c>
      <c r="B115" s="50">
        <f>SUM(B101:B114)</f>
        <v>729.19999999999993</v>
      </c>
      <c r="D115" s="11"/>
      <c r="E115" s="11"/>
    </row>
    <row r="116" spans="1:5">
      <c r="A116" s="48" t="s">
        <v>81</v>
      </c>
      <c r="B116" s="49">
        <f>B115*1000/(B90*3*B91)</f>
        <v>14.131362291231019</v>
      </c>
      <c r="D116" s="9"/>
      <c r="E116" s="9"/>
    </row>
    <row r="117" spans="1:5">
      <c r="A117" s="40" t="s">
        <v>82</v>
      </c>
      <c r="B117" s="41">
        <f>B116*100*$E$9/B77</f>
        <v>5.0228848468679539</v>
      </c>
      <c r="D117" s="7"/>
      <c r="E117" s="7"/>
    </row>
    <row r="118" spans="1:5">
      <c r="A118" s="82"/>
    </row>
    <row r="119" spans="1:5">
      <c r="A119" s="35" t="s">
        <v>8</v>
      </c>
      <c r="B119" s="36"/>
    </row>
    <row r="120" spans="1:5">
      <c r="A120" s="23" t="s">
        <v>47</v>
      </c>
      <c r="B120" s="37">
        <f>B72</f>
        <v>20</v>
      </c>
    </row>
    <row r="121" spans="1:5">
      <c r="A121" s="48" t="s">
        <v>17</v>
      </c>
      <c r="B121" s="37">
        <v>1450</v>
      </c>
    </row>
    <row r="122" spans="1:5">
      <c r="A122" s="23" t="s">
        <v>83</v>
      </c>
      <c r="B122" s="37">
        <v>60</v>
      </c>
    </row>
    <row r="123" spans="1:5">
      <c r="A123" s="48" t="s">
        <v>84</v>
      </c>
      <c r="B123" s="37">
        <v>0.7</v>
      </c>
    </row>
    <row r="124" spans="1:5">
      <c r="A124" s="23" t="s">
        <v>85</v>
      </c>
      <c r="B124" s="50">
        <f>B121*1.0936*23.5*60*B123*B122/(840*B120)*0.4536</f>
        <v>2535.4711367999994</v>
      </c>
      <c r="D124" s="11"/>
      <c r="E124" s="11"/>
    </row>
    <row r="125" spans="1:5">
      <c r="A125" s="23" t="s">
        <v>86</v>
      </c>
      <c r="B125" s="120">
        <v>12.77</v>
      </c>
      <c r="D125" s="125"/>
      <c r="E125" s="125"/>
    </row>
    <row r="126" spans="1:5">
      <c r="A126" s="23" t="s">
        <v>87</v>
      </c>
      <c r="B126" s="49">
        <v>4</v>
      </c>
      <c r="D126" s="9"/>
      <c r="E126" s="9"/>
    </row>
    <row r="127" spans="1:5">
      <c r="A127" s="23" t="s">
        <v>88</v>
      </c>
      <c r="B127" s="49">
        <f>SUM(B125:B126)</f>
        <v>16.77</v>
      </c>
      <c r="D127" s="9"/>
      <c r="E127" s="9"/>
    </row>
    <row r="128" spans="1:5">
      <c r="A128" s="38" t="s">
        <v>35</v>
      </c>
      <c r="B128" s="39">
        <f>B127*23.5/B124</f>
        <v>0.15543265087110578</v>
      </c>
      <c r="D128" s="7"/>
      <c r="E128" s="7"/>
    </row>
    <row r="129" spans="1:5">
      <c r="A129" s="23" t="s">
        <v>89</v>
      </c>
      <c r="B129" s="37">
        <f>3*22.5</f>
        <v>67.5</v>
      </c>
    </row>
    <row r="130" spans="1:5">
      <c r="A130" s="23" t="s">
        <v>123</v>
      </c>
      <c r="B130" s="49">
        <f>2*22.5</f>
        <v>45</v>
      </c>
      <c r="D130" s="9"/>
      <c r="E130" s="9"/>
    </row>
    <row r="131" spans="1:5">
      <c r="A131" s="23" t="s">
        <v>124</v>
      </c>
      <c r="B131" s="49">
        <f>2*22.5</f>
        <v>45</v>
      </c>
      <c r="D131" s="9"/>
      <c r="E131" s="9"/>
    </row>
    <row r="132" spans="1:5">
      <c r="A132" s="23" t="s">
        <v>90</v>
      </c>
      <c r="B132" s="49">
        <f>3*22.5</f>
        <v>67.5</v>
      </c>
      <c r="D132" s="9"/>
      <c r="E132" s="9"/>
    </row>
    <row r="133" spans="1:5">
      <c r="A133" s="23" t="s">
        <v>41</v>
      </c>
      <c r="B133" s="49">
        <f>1*22.5</f>
        <v>22.5</v>
      </c>
      <c r="D133" s="9"/>
      <c r="E133" s="9"/>
    </row>
    <row r="134" spans="1:5">
      <c r="A134" s="23" t="s">
        <v>42</v>
      </c>
      <c r="B134" s="49">
        <f>2*22.5</f>
        <v>45</v>
      </c>
      <c r="D134" s="9"/>
      <c r="E134" s="9"/>
    </row>
    <row r="135" spans="1:5">
      <c r="A135" s="23" t="s">
        <v>91</v>
      </c>
      <c r="B135" s="49">
        <f>1*22.5</f>
        <v>22.5</v>
      </c>
      <c r="D135" s="9"/>
      <c r="E135" s="9"/>
    </row>
    <row r="136" spans="1:5">
      <c r="A136" s="23" t="s">
        <v>125</v>
      </c>
      <c r="B136" s="49">
        <f>3*8</f>
        <v>24</v>
      </c>
      <c r="D136" s="9"/>
      <c r="E136" s="9"/>
    </row>
    <row r="137" spans="1:5">
      <c r="A137" s="23" t="s">
        <v>126</v>
      </c>
      <c r="B137" s="49">
        <f>SUM(B129:B136)</f>
        <v>339</v>
      </c>
      <c r="D137" s="9"/>
      <c r="E137" s="9"/>
    </row>
    <row r="138" spans="1:5">
      <c r="A138" s="40" t="s">
        <v>31</v>
      </c>
      <c r="B138" s="126">
        <f>B137/5*100/B124</f>
        <v>2.6740592316728131</v>
      </c>
      <c r="D138" s="12"/>
      <c r="E138" s="12"/>
    </row>
    <row r="139" spans="1:5">
      <c r="A139" s="35" t="s">
        <v>92</v>
      </c>
      <c r="B139" s="36"/>
    </row>
    <row r="140" spans="1:5">
      <c r="A140" s="23" t="s">
        <v>93</v>
      </c>
      <c r="B140" s="37">
        <v>952.56</v>
      </c>
    </row>
    <row r="141" spans="1:5">
      <c r="A141" s="23" t="s">
        <v>140</v>
      </c>
      <c r="B141" s="37">
        <v>2</v>
      </c>
    </row>
    <row r="142" spans="1:5">
      <c r="A142" s="23" t="s">
        <v>102</v>
      </c>
      <c r="B142" s="52">
        <f>B141*100/B140</f>
        <v>0.20996052742084489</v>
      </c>
    </row>
    <row r="143" spans="1:5">
      <c r="A143" s="23" t="s">
        <v>127</v>
      </c>
      <c r="B143" s="37">
        <v>0</v>
      </c>
    </row>
    <row r="144" spans="1:5">
      <c r="A144" s="23" t="s">
        <v>128</v>
      </c>
      <c r="B144" s="37">
        <v>0</v>
      </c>
    </row>
    <row r="145" spans="1:5">
      <c r="A145" s="23" t="s">
        <v>102</v>
      </c>
      <c r="B145" s="52"/>
      <c r="D145" s="17"/>
      <c r="E145" s="17"/>
    </row>
    <row r="146" spans="1:5">
      <c r="A146" s="23" t="s">
        <v>129</v>
      </c>
      <c r="B146" s="50">
        <v>6000</v>
      </c>
      <c r="D146" s="11"/>
      <c r="E146" s="11"/>
    </row>
    <row r="147" spans="1:5">
      <c r="A147" s="23" t="s">
        <v>130</v>
      </c>
      <c r="B147" s="49">
        <f>15*8</f>
        <v>120</v>
      </c>
      <c r="D147" s="9"/>
      <c r="E147" s="9"/>
    </row>
    <row r="148" spans="1:5">
      <c r="A148" s="23" t="s">
        <v>102</v>
      </c>
      <c r="B148" s="58">
        <f>B147*100/B146</f>
        <v>2</v>
      </c>
      <c r="D148" s="14"/>
      <c r="E148" s="14"/>
    </row>
    <row r="149" spans="1:5">
      <c r="A149" s="23" t="s">
        <v>131</v>
      </c>
      <c r="B149" s="50">
        <v>12000</v>
      </c>
      <c r="D149" s="11"/>
      <c r="E149" s="11"/>
    </row>
    <row r="150" spans="1:5">
      <c r="A150" s="23" t="s">
        <v>130</v>
      </c>
      <c r="B150" s="50">
        <f>2*8</f>
        <v>16</v>
      </c>
      <c r="D150" s="11"/>
      <c r="E150" s="11"/>
    </row>
    <row r="151" spans="1:5">
      <c r="A151" s="23" t="s">
        <v>31</v>
      </c>
      <c r="B151" s="52">
        <f>B150*100/B149</f>
        <v>0.13333333333333333</v>
      </c>
      <c r="D151" s="17"/>
      <c r="E151" s="17"/>
    </row>
    <row r="152" spans="1:5">
      <c r="A152" s="23" t="s">
        <v>132</v>
      </c>
      <c r="B152" s="50">
        <v>12000</v>
      </c>
      <c r="D152" s="11"/>
      <c r="E152" s="11"/>
    </row>
    <row r="153" spans="1:5">
      <c r="A153" s="23" t="s">
        <v>130</v>
      </c>
      <c r="B153" s="50">
        <f>4*8</f>
        <v>32</v>
      </c>
      <c r="D153" s="11"/>
      <c r="E153" s="11"/>
    </row>
    <row r="154" spans="1:5">
      <c r="A154" s="23" t="s">
        <v>31</v>
      </c>
      <c r="B154" s="52">
        <f>B153*100/B152</f>
        <v>0.26666666666666666</v>
      </c>
      <c r="D154" s="17"/>
      <c r="E154" s="17"/>
    </row>
    <row r="155" spans="1:5">
      <c r="A155" s="38" t="s">
        <v>31</v>
      </c>
      <c r="B155" s="76">
        <f>B142+B145+B148+B151+B154</f>
        <v>2.6099605274208448</v>
      </c>
      <c r="D155" s="12"/>
      <c r="E155" s="12"/>
    </row>
    <row r="156" spans="1:5">
      <c r="A156" s="23" t="s">
        <v>134</v>
      </c>
      <c r="B156" s="121">
        <v>1.5</v>
      </c>
      <c r="D156" s="122"/>
      <c r="E156" s="122"/>
    </row>
    <row r="157" spans="1:5">
      <c r="A157" s="23" t="s">
        <v>136</v>
      </c>
      <c r="B157" s="37">
        <v>30</v>
      </c>
    </row>
    <row r="158" spans="1:5">
      <c r="A158" s="23" t="s">
        <v>138</v>
      </c>
      <c r="B158" s="37">
        <v>0</v>
      </c>
    </row>
    <row r="159" spans="1:5">
      <c r="A159" s="23" t="s">
        <v>133</v>
      </c>
      <c r="B159" s="121">
        <v>0.5</v>
      </c>
      <c r="D159" s="122"/>
      <c r="E159" s="122"/>
    </row>
    <row r="160" spans="1:5">
      <c r="A160" s="23" t="s">
        <v>137</v>
      </c>
      <c r="B160" s="49">
        <v>0.75</v>
      </c>
      <c r="D160" s="9"/>
      <c r="E160" s="9"/>
    </row>
    <row r="161" spans="1:5">
      <c r="A161" s="23" t="s">
        <v>139</v>
      </c>
      <c r="B161" s="50">
        <v>0</v>
      </c>
      <c r="D161" s="11"/>
      <c r="E161" s="11"/>
    </row>
    <row r="162" spans="1:5">
      <c r="A162" s="23" t="s">
        <v>135</v>
      </c>
      <c r="B162" s="3"/>
    </row>
    <row r="163" spans="1:5">
      <c r="A163" s="40" t="s">
        <v>15</v>
      </c>
      <c r="B163" s="45">
        <f>B156*0.5*B160/60*1.1</f>
        <v>1.03125E-2</v>
      </c>
      <c r="D163" s="7"/>
      <c r="E163" s="7"/>
    </row>
    <row r="165" spans="1:5">
      <c r="B165" s="9"/>
      <c r="D165" s="9"/>
      <c r="E165" s="9"/>
    </row>
    <row r="166" spans="1:5">
      <c r="A166" s="35" t="s">
        <v>94</v>
      </c>
      <c r="B166" s="127" t="str">
        <f>B71</f>
        <v>20s SF</v>
      </c>
      <c r="D166" s="18"/>
      <c r="E166" s="18"/>
    </row>
    <row r="167" spans="1:5">
      <c r="A167" s="38" t="s">
        <v>95</v>
      </c>
      <c r="B167" s="128">
        <f>B77</f>
        <v>284.17334669338675</v>
      </c>
      <c r="D167" s="19"/>
      <c r="E167" s="19"/>
    </row>
    <row r="168" spans="1:5">
      <c r="A168" s="38" t="s">
        <v>96</v>
      </c>
      <c r="B168" s="96">
        <f>B80</f>
        <v>0.60535638580345763</v>
      </c>
      <c r="D168" s="20"/>
      <c r="E168" s="20"/>
    </row>
    <row r="169" spans="1:5">
      <c r="A169" s="38" t="s">
        <v>64</v>
      </c>
      <c r="B169" s="96">
        <f>B94</f>
        <v>0.48349076372873789</v>
      </c>
      <c r="D169" s="20"/>
      <c r="E169" s="20"/>
    </row>
    <row r="170" spans="1:5">
      <c r="A170" s="38" t="s">
        <v>97</v>
      </c>
      <c r="B170" s="96">
        <f>B69+B128+B163</f>
        <v>1.0351695438267465</v>
      </c>
      <c r="D170" s="20"/>
      <c r="E170" s="20"/>
    </row>
    <row r="171" spans="1:5">
      <c r="A171" s="38" t="s">
        <v>98</v>
      </c>
      <c r="B171" s="96">
        <f>B68+B96+B99+B117</f>
        <v>18.762302469558559</v>
      </c>
      <c r="D171" s="20"/>
      <c r="E171" s="20"/>
    </row>
    <row r="172" spans="1:5">
      <c r="A172" s="38" t="s">
        <v>99</v>
      </c>
      <c r="B172" s="96">
        <f>B138</f>
        <v>2.6740592316728131</v>
      </c>
      <c r="D172" s="20"/>
      <c r="E172" s="20"/>
    </row>
    <row r="173" spans="1:5">
      <c r="A173" s="38" t="s">
        <v>100</v>
      </c>
      <c r="B173" s="96">
        <f>B155</f>
        <v>2.6099605274208448</v>
      </c>
      <c r="D173" s="20"/>
      <c r="E173" s="20"/>
    </row>
    <row r="174" spans="1:5">
      <c r="A174" s="40" t="s">
        <v>141</v>
      </c>
      <c r="B174" s="118"/>
    </row>
    <row r="175" spans="1:5">
      <c r="A175" s="38"/>
      <c r="B175" s="130"/>
      <c r="D175" s="18"/>
    </row>
    <row r="176" spans="1:5">
      <c r="A176" s="35" t="s">
        <v>203</v>
      </c>
      <c r="B176" s="97" t="s">
        <v>204</v>
      </c>
    </row>
    <row r="177" spans="1:2">
      <c r="A177" s="48" t="s">
        <v>185</v>
      </c>
      <c r="B177" s="129">
        <v>10</v>
      </c>
    </row>
    <row r="178" spans="1:2">
      <c r="A178" s="48" t="s">
        <v>149</v>
      </c>
      <c r="B178" s="82">
        <v>800</v>
      </c>
    </row>
    <row r="179" spans="1:2">
      <c r="A179" s="48" t="s">
        <v>150</v>
      </c>
      <c r="B179" s="82">
        <v>0.6</v>
      </c>
    </row>
    <row r="180" spans="1:2">
      <c r="A180" s="48" t="s">
        <v>186</v>
      </c>
      <c r="B180" s="82">
        <v>51</v>
      </c>
    </row>
    <row r="181" spans="1:2">
      <c r="A181" s="48" t="s">
        <v>187</v>
      </c>
      <c r="B181" s="88">
        <f>B178*1.0936*8*60*B180*B179*0.4536/(840*B177)</f>
        <v>693.91282176000004</v>
      </c>
    </row>
    <row r="182" spans="1:2">
      <c r="A182" s="48" t="s">
        <v>33</v>
      </c>
      <c r="B182" s="133">
        <f>0.5*51+3.5</f>
        <v>29</v>
      </c>
    </row>
    <row r="183" spans="1:2">
      <c r="A183" s="48" t="s">
        <v>188</v>
      </c>
      <c r="B183" s="82">
        <f>B182*8*0.5*B179</f>
        <v>69.599999999999994</v>
      </c>
    </row>
    <row r="184" spans="1:2">
      <c r="A184" s="38" t="s">
        <v>15</v>
      </c>
      <c r="B184" s="86">
        <f>B183/B181</f>
        <v>0.10030078392768506</v>
      </c>
    </row>
    <row r="185" spans="1:2">
      <c r="A185" s="40" t="s">
        <v>11</v>
      </c>
      <c r="B185" s="91">
        <f>2*7.5*100/B181</f>
        <v>2.1616548260276951</v>
      </c>
    </row>
    <row r="186" spans="1:2">
      <c r="A186" s="6"/>
    </row>
    <row r="187" spans="1:2">
      <c r="A187" s="6" t="s">
        <v>180</v>
      </c>
    </row>
    <row r="188" spans="1:2">
      <c r="A188" s="6" t="s">
        <v>181</v>
      </c>
      <c r="B188" s="18" t="s">
        <v>204</v>
      </c>
    </row>
    <row r="189" spans="1:2">
      <c r="A189" s="23" t="s">
        <v>47</v>
      </c>
      <c r="B189" s="82">
        <v>10</v>
      </c>
    </row>
    <row r="190" spans="1:2">
      <c r="A190" s="48" t="s">
        <v>191</v>
      </c>
      <c r="B190" s="82">
        <v>7000</v>
      </c>
    </row>
    <row r="191" spans="1:2">
      <c r="A191" s="48" t="s">
        <v>48</v>
      </c>
      <c r="B191" s="82">
        <v>12.18</v>
      </c>
    </row>
    <row r="192" spans="1:2">
      <c r="A192" s="38" t="s">
        <v>201</v>
      </c>
      <c r="B192" s="88">
        <f>7.2*B190*B194/(B189*B191)*2</f>
        <v>786.20689655172418</v>
      </c>
    </row>
    <row r="193" spans="1:2">
      <c r="A193" s="23" t="s">
        <v>83</v>
      </c>
      <c r="B193" s="82">
        <v>192</v>
      </c>
    </row>
    <row r="194" spans="1:2">
      <c r="A194" s="48" t="s">
        <v>84</v>
      </c>
      <c r="B194" s="82">
        <v>0.95</v>
      </c>
    </row>
    <row r="195" spans="1:2">
      <c r="A195" s="23" t="s">
        <v>85</v>
      </c>
      <c r="B195" s="144">
        <f>B193*3*B192/1000</f>
        <v>452.85517241379318</v>
      </c>
    </row>
    <row r="196" spans="1:2">
      <c r="A196" s="23" t="s">
        <v>86</v>
      </c>
      <c r="B196" s="135">
        <f>12+0.3125</f>
        <v>12.3125</v>
      </c>
    </row>
    <row r="197" spans="1:2">
      <c r="A197" s="23" t="s">
        <v>87</v>
      </c>
      <c r="B197" s="88">
        <v>3.25</v>
      </c>
    </row>
    <row r="198" spans="1:2">
      <c r="A198" s="23" t="s">
        <v>88</v>
      </c>
      <c r="B198" s="88">
        <f>SUM(B196:B197)</f>
        <v>15.5625</v>
      </c>
    </row>
    <row r="199" spans="1:2">
      <c r="A199" s="38" t="s">
        <v>35</v>
      </c>
      <c r="B199" s="86">
        <f>B198*23.5/B195</f>
        <v>0.80758434987207584</v>
      </c>
    </row>
    <row r="200" spans="1:2">
      <c r="A200" s="23" t="s">
        <v>89</v>
      </c>
      <c r="B200" s="82">
        <f>2*22.5</f>
        <v>45</v>
      </c>
    </row>
    <row r="201" spans="1:2">
      <c r="A201" s="23" t="s">
        <v>124</v>
      </c>
      <c r="B201" s="88">
        <f>1*22.5</f>
        <v>22.5</v>
      </c>
    </row>
    <row r="202" spans="1:2">
      <c r="A202" s="23" t="s">
        <v>183</v>
      </c>
      <c r="B202" s="90">
        <v>6</v>
      </c>
    </row>
    <row r="203" spans="1:2">
      <c r="A203" s="48" t="s">
        <v>202</v>
      </c>
      <c r="B203" s="88">
        <f>SUM(B200:B201)</f>
        <v>67.5</v>
      </c>
    </row>
    <row r="204" spans="1:2">
      <c r="A204" s="40" t="s">
        <v>31</v>
      </c>
      <c r="B204" s="94">
        <f>B203/6*100/B195</f>
        <v>2.484237938596491</v>
      </c>
    </row>
    <row r="206" spans="1:2">
      <c r="A206" s="35" t="s">
        <v>201</v>
      </c>
      <c r="B206" s="131">
        <f>B192</f>
        <v>786.20689655172418</v>
      </c>
    </row>
    <row r="207" spans="1:2">
      <c r="A207" s="38" t="s">
        <v>199</v>
      </c>
      <c r="B207" s="86">
        <f>(B185+B204)</f>
        <v>4.6458927646241861</v>
      </c>
    </row>
    <row r="208" spans="1:2">
      <c r="A208" s="40" t="s">
        <v>200</v>
      </c>
      <c r="B208" s="91">
        <f>(B184+B199)</f>
        <v>0.90788513379976088</v>
      </c>
    </row>
  </sheetData>
  <mergeCells count="2">
    <mergeCell ref="A2:F2"/>
    <mergeCell ref="B44:C44"/>
  </mergeCells>
  <phoneticPr fontId="0" type="noConversion"/>
  <pageMargins left="0.75" right="0.75" top="0.28999999999999998" bottom="0.38" header="0.22" footer="0.35"/>
  <pageSetup scale="84" orientation="portrait" r:id="rId1"/>
  <headerFooter alignWithMargins="0"/>
  <rowBreaks count="2" manualBreakCount="2">
    <brk id="67" max="16383" man="1"/>
    <brk id="13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H112"/>
  <sheetViews>
    <sheetView zoomScale="115" zoomScaleNormal="115" workbookViewId="0">
      <selection activeCell="B101" sqref="B101"/>
    </sheetView>
  </sheetViews>
  <sheetFormatPr defaultRowHeight="12.75"/>
  <cols>
    <col min="1" max="1" width="22.140625" customWidth="1"/>
    <col min="2" max="2" width="14.140625" customWidth="1"/>
    <col min="3" max="3" width="10.28515625" customWidth="1"/>
    <col min="4" max="4" width="11.42578125" customWidth="1"/>
    <col min="5" max="5" width="9.5703125" bestFit="1" customWidth="1"/>
  </cols>
  <sheetData>
    <row r="1" spans="1:8">
      <c r="A1" s="6" t="s">
        <v>142</v>
      </c>
    </row>
    <row r="2" spans="1:8">
      <c r="A2" s="269" t="s">
        <v>103</v>
      </c>
      <c r="B2" s="270"/>
      <c r="C2" s="270"/>
      <c r="D2" s="270"/>
      <c r="E2" s="270"/>
      <c r="F2" s="271"/>
      <c r="G2" s="3"/>
      <c r="H2" s="3"/>
    </row>
    <row r="3" spans="1:8">
      <c r="A3" s="28" t="s">
        <v>162</v>
      </c>
      <c r="B3" s="1"/>
      <c r="C3" s="1" t="s">
        <v>0</v>
      </c>
      <c r="D3" s="1"/>
      <c r="E3" s="2" t="s">
        <v>1</v>
      </c>
      <c r="F3" s="1"/>
      <c r="G3" s="3"/>
      <c r="H3" s="3"/>
    </row>
    <row r="4" spans="1:8">
      <c r="A4" s="1"/>
      <c r="B4" s="1" t="s">
        <v>2</v>
      </c>
      <c r="C4" s="1"/>
      <c r="D4" s="1">
        <v>100</v>
      </c>
      <c r="E4" s="4">
        <f>D4/$D$8</f>
        <v>1.1249743955827565</v>
      </c>
      <c r="F4" s="1"/>
      <c r="G4" s="3"/>
      <c r="H4" s="3"/>
    </row>
    <row r="5" spans="1:8">
      <c r="A5" s="1"/>
      <c r="B5" s="1" t="s">
        <v>3</v>
      </c>
      <c r="C5" s="1">
        <v>4</v>
      </c>
      <c r="D5" s="1">
        <f>D4-C5</f>
        <v>96</v>
      </c>
      <c r="E5" s="4">
        <f>D5/$D$8</f>
        <v>1.0799754197594462</v>
      </c>
      <c r="F5" s="1"/>
      <c r="G5" s="3"/>
      <c r="H5" s="3"/>
    </row>
    <row r="6" spans="1:8">
      <c r="A6" s="1"/>
      <c r="B6" s="1" t="s">
        <v>4</v>
      </c>
      <c r="C6" s="1">
        <v>6</v>
      </c>
      <c r="D6" s="5">
        <f>D5-D5*(C6/100)</f>
        <v>90.24</v>
      </c>
      <c r="E6" s="4">
        <f>D6/$D$8</f>
        <v>1.0151768945738795</v>
      </c>
      <c r="F6" s="1"/>
      <c r="G6" s="3"/>
      <c r="H6" s="3"/>
    </row>
    <row r="7" spans="1:8">
      <c r="A7" s="1"/>
      <c r="B7" s="1" t="s">
        <v>5</v>
      </c>
      <c r="C7" s="1">
        <v>0.5</v>
      </c>
      <c r="D7" s="5">
        <f>D6-D6*(C7/100)</f>
        <v>89.788799999999995</v>
      </c>
      <c r="E7" s="4">
        <f>D7/$D$8</f>
        <v>1.0101010101010099</v>
      </c>
      <c r="F7" s="1"/>
      <c r="G7" s="3"/>
      <c r="H7" s="3"/>
    </row>
    <row r="8" spans="1:8">
      <c r="A8" s="1"/>
      <c r="B8" s="1" t="s">
        <v>163</v>
      </c>
      <c r="C8" s="34">
        <v>1</v>
      </c>
      <c r="D8" s="5">
        <f>D7-D7*(C8/100)</f>
        <v>88.890912</v>
      </c>
      <c r="E8" s="4">
        <f>D8/$D$8</f>
        <v>1</v>
      </c>
      <c r="F8" s="1"/>
      <c r="G8" s="102"/>
      <c r="H8" s="102"/>
    </row>
    <row r="11" spans="1:8">
      <c r="A11" s="35" t="s">
        <v>2</v>
      </c>
      <c r="B11" s="36"/>
      <c r="C11" s="35" t="s">
        <v>104</v>
      </c>
      <c r="D11" s="36"/>
      <c r="E11" s="21" t="s">
        <v>111</v>
      </c>
      <c r="F11" s="36">
        <f>2*22.5</f>
        <v>45</v>
      </c>
    </row>
    <row r="12" spans="1:8">
      <c r="A12" s="23" t="s">
        <v>9</v>
      </c>
      <c r="B12" s="37">
        <f>5*8</f>
        <v>40</v>
      </c>
      <c r="C12" s="23" t="s">
        <v>105</v>
      </c>
      <c r="D12" s="37">
        <v>26.25</v>
      </c>
      <c r="E12" s="23" t="s">
        <v>112</v>
      </c>
      <c r="F12" s="37">
        <f>1*22.5</f>
        <v>22.5</v>
      </c>
    </row>
    <row r="13" spans="1:8">
      <c r="A13" s="23" t="s">
        <v>10</v>
      </c>
      <c r="B13" s="37">
        <v>11500</v>
      </c>
      <c r="C13" s="23" t="s">
        <v>106</v>
      </c>
      <c r="D13" s="37">
        <v>6</v>
      </c>
      <c r="E13" s="23" t="s">
        <v>113</v>
      </c>
      <c r="F13" s="37">
        <v>22.5</v>
      </c>
    </row>
    <row r="14" spans="1:8">
      <c r="A14" s="38" t="s">
        <v>11</v>
      </c>
      <c r="B14" s="39">
        <f>B12*100*E4/B13</f>
        <v>0.3912954419418283</v>
      </c>
      <c r="C14" s="23" t="s">
        <v>107</v>
      </c>
      <c r="D14" s="37">
        <v>0.85</v>
      </c>
      <c r="E14" s="23" t="s">
        <v>114</v>
      </c>
      <c r="F14" s="37">
        <v>22.5</v>
      </c>
    </row>
    <row r="15" spans="1:8">
      <c r="A15" s="23" t="s">
        <v>12</v>
      </c>
      <c r="B15" s="37">
        <f>15*8</f>
        <v>120</v>
      </c>
      <c r="C15" s="23" t="s">
        <v>108</v>
      </c>
      <c r="D15" s="50">
        <f>2*60*D12*D14/D13</f>
        <v>446.25</v>
      </c>
      <c r="E15" s="23" t="s">
        <v>115</v>
      </c>
      <c r="F15" s="37">
        <f>3*8</f>
        <v>24</v>
      </c>
    </row>
    <row r="16" spans="1:8">
      <c r="A16" s="23" t="s">
        <v>10</v>
      </c>
      <c r="B16" s="37">
        <v>11500</v>
      </c>
      <c r="C16" s="23" t="s">
        <v>109</v>
      </c>
      <c r="D16" s="50">
        <f>B27*D15</f>
        <v>7394.3625000000002</v>
      </c>
      <c r="E16" s="23"/>
      <c r="F16" s="43">
        <f>SUM(F11:F15)</f>
        <v>136.5</v>
      </c>
    </row>
    <row r="17" spans="1:6">
      <c r="A17" s="38" t="s">
        <v>11</v>
      </c>
      <c r="B17" s="39">
        <f>B15*100*E4/B16</f>
        <v>1.173886325825485</v>
      </c>
      <c r="C17" s="23" t="s">
        <v>33</v>
      </c>
      <c r="D17" s="142">
        <v>94.75</v>
      </c>
      <c r="E17" s="40" t="s">
        <v>11</v>
      </c>
      <c r="F17" s="41">
        <f>F16*100*E4/D16</f>
        <v>2.0767037725976545</v>
      </c>
    </row>
    <row r="18" spans="1:6">
      <c r="A18" s="23" t="s">
        <v>13</v>
      </c>
      <c r="B18" s="142">
        <v>5.25</v>
      </c>
      <c r="C18" s="23" t="s">
        <v>110</v>
      </c>
      <c r="D18" s="37">
        <f>D17*0.5*0.9</f>
        <v>42.637500000000003</v>
      </c>
    </row>
    <row r="19" spans="1:6">
      <c r="A19" s="23" t="s">
        <v>14</v>
      </c>
      <c r="B19" s="142">
        <v>500</v>
      </c>
      <c r="C19" s="23"/>
      <c r="D19" s="37"/>
    </row>
    <row r="20" spans="1:6">
      <c r="A20" s="40" t="s">
        <v>15</v>
      </c>
      <c r="B20" s="41">
        <f>B18*0.5*E4/B19</f>
        <v>5.9061155768094708E-3</v>
      </c>
      <c r="C20" s="40" t="s">
        <v>15</v>
      </c>
      <c r="D20" s="41">
        <f>D18*B28*E5/D16</f>
        <v>0.14011588816478113</v>
      </c>
    </row>
    <row r="21" spans="1:6">
      <c r="A21" s="35" t="s">
        <v>159</v>
      </c>
      <c r="B21" s="47" t="s">
        <v>146</v>
      </c>
      <c r="C21" s="6"/>
      <c r="D21" s="6"/>
    </row>
    <row r="22" spans="1:6">
      <c r="A22" s="48" t="s">
        <v>16</v>
      </c>
      <c r="B22" s="37">
        <v>0.14000000000000001</v>
      </c>
      <c r="D22" s="3"/>
      <c r="E22" s="6"/>
      <c r="F22" s="6"/>
    </row>
    <row r="23" spans="1:6">
      <c r="A23" s="48" t="s">
        <v>17</v>
      </c>
      <c r="B23" s="37">
        <v>130</v>
      </c>
      <c r="D23" s="3"/>
    </row>
    <row r="24" spans="1:6">
      <c r="A24" s="48" t="s">
        <v>18</v>
      </c>
      <c r="B24" s="37">
        <v>0.85</v>
      </c>
      <c r="D24" s="3"/>
    </row>
    <row r="25" spans="1:6">
      <c r="A25" s="48" t="s">
        <v>19</v>
      </c>
      <c r="B25" s="49">
        <f>B23*1.0936*60*B24*0.4536/(840*B22)</f>
        <v>27.966476571428565</v>
      </c>
      <c r="C25" s="9"/>
      <c r="D25" s="25"/>
    </row>
    <row r="26" spans="1:6">
      <c r="A26" s="48" t="s">
        <v>20</v>
      </c>
      <c r="B26" s="37">
        <v>7</v>
      </c>
      <c r="D26" s="3"/>
      <c r="E26" s="10"/>
      <c r="F26" s="10"/>
    </row>
    <row r="27" spans="1:6">
      <c r="A27" s="48" t="s">
        <v>21</v>
      </c>
      <c r="B27" s="143">
        <v>16.57</v>
      </c>
      <c r="C27" s="151"/>
      <c r="D27" s="154"/>
    </row>
    <row r="28" spans="1:6">
      <c r="A28" s="48" t="s">
        <v>22</v>
      </c>
      <c r="B28" s="37">
        <v>22.5</v>
      </c>
      <c r="D28" s="3"/>
    </row>
    <row r="29" spans="1:6">
      <c r="A29" s="48" t="s">
        <v>23</v>
      </c>
      <c r="B29" s="50">
        <f>B28*B25*B26</f>
        <v>4404.7200599999987</v>
      </c>
      <c r="C29" s="11"/>
      <c r="D29" s="42"/>
      <c r="E29" s="7"/>
      <c r="F29" s="7"/>
    </row>
    <row r="30" spans="1:6">
      <c r="A30" s="48" t="s">
        <v>25</v>
      </c>
      <c r="B30" s="49">
        <v>22.5</v>
      </c>
      <c r="C30" s="9"/>
      <c r="D30" s="25"/>
    </row>
    <row r="31" spans="1:6">
      <c r="A31" s="38" t="s">
        <v>102</v>
      </c>
      <c r="B31" s="76">
        <f>B30*100*E6/B29</f>
        <v>0.51856825897608338</v>
      </c>
      <c r="C31" s="29"/>
      <c r="D31" s="139"/>
    </row>
    <row r="32" spans="1:6">
      <c r="A32" s="48" t="s">
        <v>26</v>
      </c>
      <c r="B32" s="49">
        <f>B27*0.55*B24</f>
        <v>7.7464750000000002</v>
      </c>
      <c r="D32" s="25"/>
    </row>
    <row r="33" spans="1:5">
      <c r="A33" s="40" t="s">
        <v>15</v>
      </c>
      <c r="B33" s="41">
        <f>B32*B26*E6/B29*B28</f>
        <v>0.28119532377662287</v>
      </c>
      <c r="D33" s="138"/>
    </row>
    <row r="34" spans="1:5">
      <c r="A34" s="35" t="s">
        <v>5</v>
      </c>
      <c r="B34" s="62" t="s">
        <v>28</v>
      </c>
      <c r="D34" s="145"/>
    </row>
    <row r="35" spans="1:5">
      <c r="A35" s="23" t="s">
        <v>16</v>
      </c>
      <c r="B35" s="108">
        <v>0.14000000000000001</v>
      </c>
      <c r="C35" s="27"/>
      <c r="D35" s="145"/>
      <c r="E35" s="10"/>
    </row>
    <row r="36" spans="1:5">
      <c r="A36" s="23" t="s">
        <v>17</v>
      </c>
      <c r="B36" s="108">
        <v>450</v>
      </c>
      <c r="C36" s="27"/>
      <c r="D36" s="29"/>
      <c r="E36" s="11"/>
    </row>
    <row r="37" spans="1:5">
      <c r="A37" s="48" t="s">
        <v>18</v>
      </c>
      <c r="B37" s="108">
        <v>0.85</v>
      </c>
      <c r="C37" s="27"/>
      <c r="D37" s="29"/>
    </row>
    <row r="38" spans="1:5">
      <c r="A38" s="48" t="s">
        <v>29</v>
      </c>
      <c r="B38" s="109">
        <f>24*60*B36*1.0936*B37*0.4536/(840*B35)</f>
        <v>2323.3688228571423</v>
      </c>
      <c r="C38" s="30"/>
      <c r="D38" s="7"/>
    </row>
    <row r="39" spans="1:5">
      <c r="A39" s="48" t="s">
        <v>30</v>
      </c>
      <c r="B39" s="108">
        <f>22.5/2</f>
        <v>11.25</v>
      </c>
      <c r="C39" s="27"/>
      <c r="D39" s="29"/>
      <c r="E39" s="7"/>
    </row>
    <row r="40" spans="1:5">
      <c r="A40" s="38" t="s">
        <v>31</v>
      </c>
      <c r="B40" s="110">
        <f>B39*100*E7/B38</f>
        <v>0.4891016980103069</v>
      </c>
      <c r="C40" s="31"/>
      <c r="D40" s="29"/>
    </row>
    <row r="41" spans="1:5">
      <c r="A41" s="48" t="s">
        <v>33</v>
      </c>
      <c r="B41" s="111">
        <v>12.33</v>
      </c>
      <c r="C41" s="15"/>
      <c r="D41" s="7"/>
    </row>
    <row r="42" spans="1:5">
      <c r="A42" s="48" t="s">
        <v>34</v>
      </c>
      <c r="B42" s="112">
        <f>B41*0.5*B37*24</f>
        <v>125.76599999999999</v>
      </c>
      <c r="C42" s="32"/>
    </row>
    <row r="43" spans="1:5">
      <c r="A43" s="40" t="s">
        <v>35</v>
      </c>
      <c r="B43" s="113">
        <f>B42*E7/B38</f>
        <v>5.4677657023968221E-2</v>
      </c>
      <c r="C43" s="33"/>
    </row>
    <row r="44" spans="1:5">
      <c r="A44" s="6" t="s">
        <v>164</v>
      </c>
      <c r="B44" s="7">
        <f>B14+B17+F17+B31+B40</f>
        <v>4.6495554973513578</v>
      </c>
      <c r="C44" s="7"/>
      <c r="D44" s="7"/>
      <c r="E44" s="7"/>
    </row>
    <row r="45" spans="1:5">
      <c r="A45" s="6" t="s">
        <v>165</v>
      </c>
      <c r="B45" s="7">
        <f>B20+D20+B33+B43</f>
        <v>0.48189498454218171</v>
      </c>
      <c r="C45" s="7"/>
      <c r="D45" s="7"/>
      <c r="E45" s="7"/>
    </row>
    <row r="46" spans="1:5">
      <c r="A46" s="35" t="s">
        <v>166</v>
      </c>
      <c r="B46" s="114"/>
    </row>
    <row r="47" spans="1:5">
      <c r="A47" s="38" t="s">
        <v>161</v>
      </c>
      <c r="B47" s="106" t="s">
        <v>205</v>
      </c>
      <c r="C47" s="18"/>
    </row>
    <row r="48" spans="1:5">
      <c r="A48" s="48" t="s">
        <v>47</v>
      </c>
      <c r="B48" s="82">
        <v>32</v>
      </c>
    </row>
    <row r="49" spans="1:4">
      <c r="A49" s="48" t="s">
        <v>48</v>
      </c>
      <c r="B49" s="82">
        <v>28</v>
      </c>
    </row>
    <row r="50" spans="1:4">
      <c r="A50" s="48" t="s">
        <v>38</v>
      </c>
      <c r="B50" s="82">
        <v>110000</v>
      </c>
    </row>
    <row r="51" spans="1:4">
      <c r="A51" s="48" t="s">
        <v>18</v>
      </c>
      <c r="B51" s="82">
        <v>0.95699999999999996</v>
      </c>
    </row>
    <row r="52" spans="1:4">
      <c r="A52" s="38" t="s">
        <v>50</v>
      </c>
      <c r="B52" s="83">
        <f>7.2*B50*B51/(B48*B49)</f>
        <v>845.91964285714289</v>
      </c>
      <c r="C52" s="16"/>
    </row>
    <row r="53" spans="1:4">
      <c r="A53" s="38" t="s">
        <v>169</v>
      </c>
      <c r="B53" s="112">
        <v>316</v>
      </c>
      <c r="C53" s="16"/>
    </row>
    <row r="54" spans="1:4">
      <c r="A54" s="48" t="s">
        <v>167</v>
      </c>
      <c r="B54" s="150">
        <v>75</v>
      </c>
      <c r="C54" s="153"/>
    </row>
    <row r="55" spans="1:4">
      <c r="A55" s="38" t="s">
        <v>168</v>
      </c>
      <c r="B55" s="86">
        <f>B54/(B53*B52/1000)*8</f>
        <v>2.2445798407069781</v>
      </c>
      <c r="C55" s="7"/>
    </row>
    <row r="56" spans="1:4">
      <c r="A56" s="48" t="s">
        <v>54</v>
      </c>
      <c r="B56" s="82"/>
    </row>
    <row r="57" spans="1:4">
      <c r="A57" s="48" t="s">
        <v>55</v>
      </c>
      <c r="B57" s="82">
        <v>100</v>
      </c>
    </row>
    <row r="58" spans="1:4">
      <c r="A58" s="48" t="s">
        <v>57</v>
      </c>
      <c r="B58" s="82">
        <v>780</v>
      </c>
    </row>
    <row r="59" spans="1:4">
      <c r="A59" s="48" t="s">
        <v>59</v>
      </c>
      <c r="B59" s="82">
        <f>SUM(B57:B58)</f>
        <v>880</v>
      </c>
    </row>
    <row r="60" spans="1:4">
      <c r="A60" s="48" t="s">
        <v>170</v>
      </c>
      <c r="B60" s="82">
        <v>1264</v>
      </c>
    </row>
    <row r="61" spans="1:4">
      <c r="A61" s="48" t="s">
        <v>61</v>
      </c>
      <c r="B61" s="117">
        <v>0.94199999999999995</v>
      </c>
      <c r="C61" s="155"/>
      <c r="D61" s="153"/>
    </row>
    <row r="62" spans="1:4">
      <c r="A62" s="48" t="s">
        <v>171</v>
      </c>
      <c r="B62" s="88">
        <f>B59*1000/(B60*3*B61)</f>
        <v>246.3561683105342</v>
      </c>
      <c r="C62" s="9"/>
    </row>
    <row r="63" spans="1:4">
      <c r="A63" s="38" t="s">
        <v>64</v>
      </c>
      <c r="B63" s="86">
        <f>B62/B52</f>
        <v>0.29122880688578395</v>
      </c>
      <c r="C63" s="7"/>
    </row>
    <row r="64" spans="1:4">
      <c r="A64" s="48" t="s">
        <v>174</v>
      </c>
      <c r="B64" s="115">
        <f>8*22.5</f>
        <v>180</v>
      </c>
      <c r="C64" s="7"/>
    </row>
    <row r="65" spans="1:3">
      <c r="A65" s="48" t="s">
        <v>172</v>
      </c>
      <c r="B65" s="82">
        <f>2*8</f>
        <v>16</v>
      </c>
    </row>
    <row r="66" spans="1:3">
      <c r="A66" s="48" t="s">
        <v>175</v>
      </c>
      <c r="B66" s="82">
        <f>2*8</f>
        <v>16</v>
      </c>
    </row>
    <row r="67" spans="1:3">
      <c r="A67" s="48" t="s">
        <v>42</v>
      </c>
      <c r="B67" s="82">
        <f>1*22.5</f>
        <v>22.5</v>
      </c>
    </row>
    <row r="68" spans="1:3">
      <c r="A68" s="48" t="s">
        <v>173</v>
      </c>
      <c r="B68" s="82">
        <f>1*22.5</f>
        <v>22.5</v>
      </c>
    </row>
    <row r="69" spans="1:3">
      <c r="A69" s="48" t="s">
        <v>41</v>
      </c>
      <c r="B69" s="82">
        <f>1*22.5</f>
        <v>22.5</v>
      </c>
    </row>
    <row r="70" spans="1:3">
      <c r="A70" s="48" t="s">
        <v>116</v>
      </c>
      <c r="B70" s="82">
        <f>1*22.5</f>
        <v>22.5</v>
      </c>
    </row>
    <row r="71" spans="1:3">
      <c r="A71" s="48" t="s">
        <v>76</v>
      </c>
      <c r="B71" s="90">
        <f>58*0.2</f>
        <v>11.600000000000001</v>
      </c>
      <c r="C71" s="11"/>
    </row>
    <row r="72" spans="1:3">
      <c r="A72" s="48" t="s">
        <v>122</v>
      </c>
      <c r="B72" s="90">
        <f>9*8*0.2</f>
        <v>14.4</v>
      </c>
      <c r="C72" s="11"/>
    </row>
    <row r="73" spans="1:3">
      <c r="A73" s="48" t="s">
        <v>121</v>
      </c>
      <c r="B73" s="90">
        <f>1*8*0.2</f>
        <v>1.6</v>
      </c>
      <c r="C73" s="11"/>
    </row>
    <row r="74" spans="1:3">
      <c r="A74" s="48" t="s">
        <v>77</v>
      </c>
      <c r="B74" s="90">
        <f>1*8*0.2</f>
        <v>1.6</v>
      </c>
      <c r="C74" s="11"/>
    </row>
    <row r="75" spans="1:3">
      <c r="A75" s="48" t="s">
        <v>78</v>
      </c>
      <c r="B75" s="90">
        <f>2*8*0.2</f>
        <v>3.2</v>
      </c>
      <c r="C75" s="11"/>
    </row>
    <row r="76" spans="1:3">
      <c r="A76" s="48" t="s">
        <v>79</v>
      </c>
      <c r="B76" s="90">
        <f>4*8*0.2</f>
        <v>6.4</v>
      </c>
      <c r="C76" s="11"/>
    </row>
    <row r="77" spans="1:3">
      <c r="A77" s="48" t="s">
        <v>176</v>
      </c>
      <c r="B77" s="90">
        <f>SUM(B64:B76)</f>
        <v>340.8</v>
      </c>
      <c r="C77" s="9"/>
    </row>
    <row r="78" spans="1:3">
      <c r="A78" s="48" t="s">
        <v>177</v>
      </c>
      <c r="B78" s="88">
        <f>B77*1000/(B60*3*B61)</f>
        <v>95.407025182079607</v>
      </c>
      <c r="C78" s="7"/>
    </row>
    <row r="79" spans="1:3">
      <c r="A79" s="40" t="s">
        <v>82</v>
      </c>
      <c r="B79" s="91">
        <f>B78*100*$E$8/B52</f>
        <v>11.278497430303998</v>
      </c>
    </row>
    <row r="81" spans="1:3">
      <c r="A81" s="35" t="s">
        <v>92</v>
      </c>
      <c r="B81" s="62"/>
    </row>
    <row r="82" spans="1:3">
      <c r="A82" s="23" t="s">
        <v>93</v>
      </c>
      <c r="B82" s="82"/>
    </row>
    <row r="83" spans="1:3">
      <c r="A83" s="23" t="s">
        <v>140</v>
      </c>
      <c r="B83" s="82"/>
    </row>
    <row r="84" spans="1:3">
      <c r="A84" s="23" t="s">
        <v>102</v>
      </c>
      <c r="B84" s="82"/>
    </row>
    <row r="85" spans="1:3">
      <c r="A85" s="23" t="s">
        <v>206</v>
      </c>
      <c r="B85" s="82">
        <v>60</v>
      </c>
    </row>
    <row r="86" spans="1:3">
      <c r="A86" s="23" t="s">
        <v>207</v>
      </c>
      <c r="B86" s="82">
        <v>20</v>
      </c>
      <c r="C86" s="17"/>
    </row>
    <row r="87" spans="1:3">
      <c r="A87" s="38" t="s">
        <v>102</v>
      </c>
      <c r="B87" s="86">
        <f>8*100/B85/B86</f>
        <v>0.66666666666666674</v>
      </c>
      <c r="C87" s="11"/>
    </row>
    <row r="88" spans="1:3">
      <c r="A88" s="23" t="s">
        <v>129</v>
      </c>
      <c r="B88" s="90">
        <v>3200</v>
      </c>
      <c r="C88" s="9"/>
    </row>
    <row r="89" spans="1:3">
      <c r="A89" s="23" t="s">
        <v>130</v>
      </c>
      <c r="B89" s="88">
        <f>3*8</f>
        <v>24</v>
      </c>
      <c r="C89" s="14"/>
    </row>
    <row r="90" spans="1:3">
      <c r="A90" s="38" t="s">
        <v>102</v>
      </c>
      <c r="B90" s="89">
        <f>B89*100/B88</f>
        <v>0.75</v>
      </c>
      <c r="C90" s="11"/>
    </row>
    <row r="91" spans="1:3">
      <c r="A91" s="23" t="s">
        <v>132</v>
      </c>
      <c r="B91" s="90">
        <v>12000</v>
      </c>
      <c r="C91" s="11"/>
    </row>
    <row r="92" spans="1:3">
      <c r="A92" s="23" t="s">
        <v>130</v>
      </c>
      <c r="B92" s="90">
        <f>4*8</f>
        <v>32</v>
      </c>
      <c r="C92" s="17"/>
    </row>
    <row r="93" spans="1:3">
      <c r="A93" s="23" t="s">
        <v>31</v>
      </c>
      <c r="B93" s="85">
        <f>B92*100/B91</f>
        <v>0.26666666666666666</v>
      </c>
      <c r="C93" s="12"/>
    </row>
    <row r="94" spans="1:3">
      <c r="A94" s="38" t="s">
        <v>31</v>
      </c>
      <c r="B94" s="89">
        <f>B84+B87+B90+B93</f>
        <v>1.6833333333333333</v>
      </c>
      <c r="C94" s="151"/>
    </row>
    <row r="96" spans="1:3">
      <c r="B96" s="9"/>
    </row>
    <row r="97" spans="1:3">
      <c r="A97" s="35" t="s">
        <v>94</v>
      </c>
      <c r="B97" s="97" t="str">
        <f>B47</f>
        <v>32s O.E</v>
      </c>
      <c r="C97" s="151"/>
    </row>
    <row r="98" spans="1:3">
      <c r="A98" s="38" t="s">
        <v>95</v>
      </c>
      <c r="B98" s="98">
        <f>B52</f>
        <v>845.91964285714289</v>
      </c>
      <c r="C98" s="9"/>
    </row>
    <row r="99" spans="1:3">
      <c r="A99" s="38" t="s">
        <v>96</v>
      </c>
      <c r="B99" s="99">
        <f>B55</f>
        <v>2.2445798407069781</v>
      </c>
      <c r="C99" s="11"/>
    </row>
    <row r="100" spans="1:3">
      <c r="A100" s="38" t="s">
        <v>64</v>
      </c>
      <c r="B100" s="99">
        <f>B63</f>
        <v>0.29122880688578395</v>
      </c>
    </row>
    <row r="101" spans="1:3">
      <c r="A101" s="38" t="s">
        <v>97</v>
      </c>
      <c r="B101" s="99">
        <f>B45</f>
        <v>0.48189498454218171</v>
      </c>
      <c r="C101" s="7"/>
    </row>
    <row r="102" spans="1:3">
      <c r="A102" s="38" t="s">
        <v>98</v>
      </c>
      <c r="B102" s="99">
        <f>B44+B79</f>
        <v>15.928052927655356</v>
      </c>
    </row>
    <row r="103" spans="1:3">
      <c r="A103" s="38" t="s">
        <v>100</v>
      </c>
      <c r="B103" s="99">
        <f>B94</f>
        <v>1.6833333333333333</v>
      </c>
      <c r="C103" s="9"/>
    </row>
    <row r="104" spans="1:3">
      <c r="A104" s="40" t="s">
        <v>141</v>
      </c>
      <c r="B104" s="100"/>
      <c r="C104" s="18"/>
    </row>
    <row r="105" spans="1:3">
      <c r="A105" s="6"/>
      <c r="B105" s="13"/>
      <c r="C105" s="116"/>
    </row>
    <row r="106" spans="1:3">
      <c r="A106" s="6"/>
      <c r="C106" s="96"/>
    </row>
    <row r="107" spans="1:3">
      <c r="A107" s="6"/>
      <c r="B107" s="18"/>
      <c r="C107" s="96"/>
    </row>
    <row r="108" spans="1:3">
      <c r="A108" s="6"/>
      <c r="B108" s="19"/>
      <c r="C108" s="96"/>
    </row>
    <row r="109" spans="1:3">
      <c r="A109" s="6"/>
      <c r="B109" s="20"/>
      <c r="C109" s="96"/>
    </row>
    <row r="110" spans="1:3">
      <c r="C110" s="96"/>
    </row>
    <row r="111" spans="1:3">
      <c r="C111" s="96"/>
    </row>
    <row r="112" spans="1:3">
      <c r="C112" s="46"/>
    </row>
  </sheetData>
  <mergeCells count="1">
    <mergeCell ref="A2:F2"/>
  </mergeCells>
  <phoneticPr fontId="0" type="noConversion"/>
  <pageMargins left="0.75" right="0.75" top="1" bottom="1" header="0.5" footer="0.5"/>
  <pageSetup scale="86" orientation="portrait" r:id="rId1"/>
  <headerFooter alignWithMargins="0"/>
  <rowBreaks count="2" manualBreakCount="2">
    <brk id="45" max="16383" man="1"/>
    <brk id="10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H112"/>
  <sheetViews>
    <sheetView topLeftCell="A92" zoomScale="115" zoomScaleNormal="115" workbookViewId="0">
      <selection activeCell="I118" sqref="I118"/>
    </sheetView>
  </sheetViews>
  <sheetFormatPr defaultRowHeight="12.75"/>
  <cols>
    <col min="1" max="1" width="22.140625" customWidth="1"/>
    <col min="2" max="2" width="14.140625" customWidth="1"/>
    <col min="3" max="3" width="13.140625" customWidth="1"/>
    <col min="4" max="4" width="11.42578125" customWidth="1"/>
    <col min="5" max="5" width="9.5703125" bestFit="1" customWidth="1"/>
  </cols>
  <sheetData>
    <row r="1" spans="1:8">
      <c r="A1" s="6" t="s">
        <v>142</v>
      </c>
    </row>
    <row r="2" spans="1:8">
      <c r="A2" s="269" t="s">
        <v>103</v>
      </c>
      <c r="B2" s="270"/>
      <c r="C2" s="270"/>
      <c r="D2" s="270"/>
      <c r="E2" s="270"/>
      <c r="F2" s="271"/>
      <c r="G2" s="3"/>
      <c r="H2" s="3"/>
    </row>
    <row r="3" spans="1:8">
      <c r="A3" s="28" t="s">
        <v>162</v>
      </c>
      <c r="B3" s="1"/>
      <c r="C3" s="1" t="s">
        <v>0</v>
      </c>
      <c r="D3" s="1"/>
      <c r="E3" s="2" t="s">
        <v>1</v>
      </c>
      <c r="F3" s="1"/>
      <c r="G3" s="3"/>
      <c r="H3" s="3"/>
    </row>
    <row r="4" spans="1:8">
      <c r="A4" s="1"/>
      <c r="B4" s="1" t="s">
        <v>2</v>
      </c>
      <c r="C4" s="1"/>
      <c r="D4" s="1">
        <v>100</v>
      </c>
      <c r="E4" s="4">
        <f>D4/$D$8</f>
        <v>1.1249743955827565</v>
      </c>
      <c r="F4" s="1"/>
      <c r="G4" s="3"/>
      <c r="H4" s="3"/>
    </row>
    <row r="5" spans="1:8">
      <c r="A5" s="1"/>
      <c r="B5" s="1" t="s">
        <v>3</v>
      </c>
      <c r="C5" s="1">
        <v>4</v>
      </c>
      <c r="D5" s="1">
        <f>D4-C5</f>
        <v>96</v>
      </c>
      <c r="E5" s="4">
        <f>D5/$D$8</f>
        <v>1.0799754197594462</v>
      </c>
      <c r="F5" s="1"/>
      <c r="G5" s="3"/>
      <c r="H5" s="3"/>
    </row>
    <row r="6" spans="1:8">
      <c r="A6" s="1"/>
      <c r="B6" s="1" t="s">
        <v>4</v>
      </c>
      <c r="C6" s="1">
        <v>6</v>
      </c>
      <c r="D6" s="5">
        <f>D5-D5*(C6/100)</f>
        <v>90.24</v>
      </c>
      <c r="E6" s="4">
        <f>D6/$D$8</f>
        <v>1.0151768945738795</v>
      </c>
      <c r="F6" s="1"/>
      <c r="G6" s="3"/>
      <c r="H6" s="3"/>
    </row>
    <row r="7" spans="1:8">
      <c r="A7" s="1"/>
      <c r="B7" s="1" t="s">
        <v>5</v>
      </c>
      <c r="C7" s="1">
        <v>0.5</v>
      </c>
      <c r="D7" s="5">
        <f>D6-D6*(C7/100)</f>
        <v>89.788799999999995</v>
      </c>
      <c r="E7" s="4">
        <f>D7/$D$8</f>
        <v>1.0101010101010099</v>
      </c>
      <c r="F7" s="1"/>
      <c r="G7" s="3"/>
      <c r="H7" s="3"/>
    </row>
    <row r="8" spans="1:8">
      <c r="A8" s="1"/>
      <c r="B8" s="1" t="s">
        <v>163</v>
      </c>
      <c r="C8" s="34">
        <v>1</v>
      </c>
      <c r="D8" s="5">
        <f>D7-D7*(C8/100)</f>
        <v>88.890912</v>
      </c>
      <c r="E8" s="4">
        <f>D8/$D$8</f>
        <v>1</v>
      </c>
      <c r="F8" s="1"/>
      <c r="G8" s="102"/>
      <c r="H8" s="102"/>
    </row>
    <row r="11" spans="1:8">
      <c r="A11" s="35" t="s">
        <v>2</v>
      </c>
      <c r="B11" s="36"/>
      <c r="C11" s="35" t="s">
        <v>104</v>
      </c>
      <c r="D11" s="36"/>
      <c r="E11" s="21" t="s">
        <v>111</v>
      </c>
      <c r="F11" s="36">
        <f>2*22.5</f>
        <v>45</v>
      </c>
    </row>
    <row r="12" spans="1:8">
      <c r="A12" s="23" t="s">
        <v>9</v>
      </c>
      <c r="B12" s="37">
        <f>5*8</f>
        <v>40</v>
      </c>
      <c r="C12" s="23" t="s">
        <v>105</v>
      </c>
      <c r="D12" s="37">
        <v>26.25</v>
      </c>
      <c r="E12" s="23" t="s">
        <v>112</v>
      </c>
      <c r="F12" s="37">
        <f>1*22.5</f>
        <v>22.5</v>
      </c>
    </row>
    <row r="13" spans="1:8">
      <c r="A13" s="23" t="s">
        <v>10</v>
      </c>
      <c r="B13" s="37">
        <v>11500</v>
      </c>
      <c r="C13" s="23" t="s">
        <v>106</v>
      </c>
      <c r="D13" s="37">
        <v>6</v>
      </c>
      <c r="E13" s="23" t="s">
        <v>113</v>
      </c>
      <c r="F13" s="37">
        <v>22.5</v>
      </c>
    </row>
    <row r="14" spans="1:8">
      <c r="A14" s="38" t="s">
        <v>11</v>
      </c>
      <c r="B14" s="39">
        <f>B12*100*E4/B13</f>
        <v>0.3912954419418283</v>
      </c>
      <c r="C14" s="23" t="s">
        <v>107</v>
      </c>
      <c r="D14" s="37">
        <v>0.85</v>
      </c>
      <c r="E14" s="23" t="s">
        <v>114</v>
      </c>
      <c r="F14" s="37">
        <v>22.5</v>
      </c>
    </row>
    <row r="15" spans="1:8">
      <c r="A15" s="23" t="s">
        <v>12</v>
      </c>
      <c r="B15" s="37">
        <f>15*8</f>
        <v>120</v>
      </c>
      <c r="C15" s="23" t="s">
        <v>108</v>
      </c>
      <c r="D15" s="50">
        <f>2*60*D12*D14/D13</f>
        <v>446.25</v>
      </c>
      <c r="E15" s="23" t="s">
        <v>115</v>
      </c>
      <c r="F15" s="37">
        <f>3*8</f>
        <v>24</v>
      </c>
    </row>
    <row r="16" spans="1:8">
      <c r="A16" s="23" t="s">
        <v>10</v>
      </c>
      <c r="B16" s="37">
        <v>11500</v>
      </c>
      <c r="C16" s="23" t="s">
        <v>109</v>
      </c>
      <c r="D16" s="50">
        <f>B27*D15</f>
        <v>7394.3625000000002</v>
      </c>
      <c r="E16" s="23"/>
      <c r="F16" s="43">
        <f>SUM(F11:F15)</f>
        <v>136.5</v>
      </c>
    </row>
    <row r="17" spans="1:6">
      <c r="A17" s="38" t="s">
        <v>11</v>
      </c>
      <c r="B17" s="39">
        <f>B15*100*E4/B16</f>
        <v>1.173886325825485</v>
      </c>
      <c r="C17" s="23" t="s">
        <v>33</v>
      </c>
      <c r="D17" s="142">
        <v>94.75</v>
      </c>
      <c r="E17" s="40" t="s">
        <v>11</v>
      </c>
      <c r="F17" s="41">
        <f>F16*100*E4/D16</f>
        <v>2.0767037725976545</v>
      </c>
    </row>
    <row r="18" spans="1:6">
      <c r="A18" s="23" t="s">
        <v>13</v>
      </c>
      <c r="B18" s="142">
        <v>5.25</v>
      </c>
      <c r="C18" s="23" t="s">
        <v>110</v>
      </c>
      <c r="D18" s="37">
        <f>D17*0.5*0.9</f>
        <v>42.637500000000003</v>
      </c>
    </row>
    <row r="19" spans="1:6">
      <c r="A19" s="23" t="s">
        <v>14</v>
      </c>
      <c r="B19" s="142">
        <v>500</v>
      </c>
      <c r="C19" s="23"/>
      <c r="D19" s="37"/>
    </row>
    <row r="20" spans="1:6">
      <c r="A20" s="40" t="s">
        <v>15</v>
      </c>
      <c r="B20" s="41">
        <f>B18*0.5*E4/B19</f>
        <v>5.9061155768094708E-3</v>
      </c>
      <c r="C20" s="40" t="s">
        <v>15</v>
      </c>
      <c r="D20" s="41">
        <f>D18*B28*E5/D16</f>
        <v>0.14011588816478113</v>
      </c>
    </row>
    <row r="21" spans="1:6">
      <c r="A21" s="35" t="s">
        <v>159</v>
      </c>
      <c r="B21" s="47" t="s">
        <v>146</v>
      </c>
      <c r="C21" s="6"/>
      <c r="D21" s="6"/>
    </row>
    <row r="22" spans="1:6">
      <c r="A22" s="48" t="s">
        <v>16</v>
      </c>
      <c r="B22" s="37">
        <v>0.13</v>
      </c>
      <c r="D22" s="3"/>
      <c r="E22" s="6"/>
      <c r="F22" s="6"/>
    </row>
    <row r="23" spans="1:6">
      <c r="A23" s="48" t="s">
        <v>17</v>
      </c>
      <c r="B23" s="37">
        <v>120</v>
      </c>
      <c r="D23" s="3"/>
    </row>
    <row r="24" spans="1:6">
      <c r="A24" s="48" t="s">
        <v>18</v>
      </c>
      <c r="B24" s="37">
        <v>0.8</v>
      </c>
      <c r="D24" s="3"/>
    </row>
    <row r="25" spans="1:6">
      <c r="A25" s="48" t="s">
        <v>19</v>
      </c>
      <c r="B25" s="49">
        <f>B23*1.0936*60*B24*0.4536/(840*B22)</f>
        <v>26.165641846153846</v>
      </c>
      <c r="C25" s="9"/>
      <c r="D25" s="25"/>
    </row>
    <row r="26" spans="1:6">
      <c r="A26" s="48" t="s">
        <v>20</v>
      </c>
      <c r="B26" s="37">
        <v>7</v>
      </c>
      <c r="D26" s="3"/>
      <c r="E26" s="10"/>
      <c r="F26" s="10"/>
    </row>
    <row r="27" spans="1:6">
      <c r="A27" s="48" t="s">
        <v>21</v>
      </c>
      <c r="B27" s="143">
        <v>16.57</v>
      </c>
      <c r="C27" s="151"/>
      <c r="D27" s="154"/>
    </row>
    <row r="28" spans="1:6">
      <c r="A28" s="48" t="s">
        <v>22</v>
      </c>
      <c r="B28" s="37">
        <v>22.5</v>
      </c>
      <c r="D28" s="3"/>
    </row>
    <row r="29" spans="1:6">
      <c r="A29" s="48" t="s">
        <v>23</v>
      </c>
      <c r="B29" s="50">
        <f>B28*B25*B26</f>
        <v>4121.0885907692309</v>
      </c>
      <c r="C29" s="11"/>
      <c r="D29" s="42"/>
      <c r="E29" s="7"/>
      <c r="F29" s="7"/>
    </row>
    <row r="30" spans="1:6">
      <c r="A30" s="48" t="s">
        <v>25</v>
      </c>
      <c r="B30" s="49">
        <v>22.5</v>
      </c>
      <c r="C30" s="9"/>
      <c r="D30" s="25"/>
    </row>
    <row r="31" spans="1:6">
      <c r="A31" s="38" t="s">
        <v>102</v>
      </c>
      <c r="B31" s="76">
        <f>B30*100*E6/B29</f>
        <v>0.55425841072852933</v>
      </c>
      <c r="C31" s="29"/>
      <c r="D31" s="139"/>
    </row>
    <row r="32" spans="1:6">
      <c r="A32" s="48" t="s">
        <v>26</v>
      </c>
      <c r="B32" s="49">
        <f>B27*0.55*B24</f>
        <v>7.2908000000000008</v>
      </c>
      <c r="D32" s="25"/>
    </row>
    <row r="33" spans="1:5">
      <c r="A33" s="40" t="s">
        <v>15</v>
      </c>
      <c r="B33" s="41">
        <f>B32*B26*E6/B29*B28</f>
        <v>0.28286910546576938</v>
      </c>
      <c r="D33" s="138"/>
    </row>
    <row r="34" spans="1:5">
      <c r="A34" s="35" t="s">
        <v>5</v>
      </c>
      <c r="B34" s="62" t="s">
        <v>28</v>
      </c>
      <c r="D34" s="145"/>
    </row>
    <row r="35" spans="1:5">
      <c r="A35" s="23" t="s">
        <v>16</v>
      </c>
      <c r="B35" s="108">
        <v>0.13</v>
      </c>
      <c r="C35" s="27"/>
      <c r="D35" s="145"/>
      <c r="E35" s="10"/>
    </row>
    <row r="36" spans="1:5">
      <c r="A36" s="23" t="s">
        <v>17</v>
      </c>
      <c r="B36" s="108">
        <v>450</v>
      </c>
      <c r="C36" s="27"/>
      <c r="D36" s="29"/>
      <c r="E36" s="11"/>
    </row>
    <row r="37" spans="1:5">
      <c r="A37" s="48" t="s">
        <v>18</v>
      </c>
      <c r="B37" s="108">
        <v>0.8</v>
      </c>
      <c r="C37" s="27"/>
      <c r="D37" s="29"/>
    </row>
    <row r="38" spans="1:5">
      <c r="A38" s="48" t="s">
        <v>29</v>
      </c>
      <c r="B38" s="109">
        <f>24*60*B36*1.0936*B37*0.4536/(840*B35)</f>
        <v>2354.9077661538463</v>
      </c>
      <c r="C38" s="30"/>
      <c r="D38" s="7"/>
    </row>
    <row r="39" spans="1:5">
      <c r="A39" s="48" t="s">
        <v>30</v>
      </c>
      <c r="B39" s="108">
        <f>22.5/2</f>
        <v>11.25</v>
      </c>
      <c r="C39" s="27"/>
      <c r="D39" s="29"/>
      <c r="E39" s="7"/>
    </row>
    <row r="40" spans="1:5">
      <c r="A40" s="38" t="s">
        <v>31</v>
      </c>
      <c r="B40" s="110">
        <f>B39*100*E7/B38</f>
        <v>0.48255122884052587</v>
      </c>
      <c r="C40" s="31"/>
      <c r="D40" s="29"/>
    </row>
    <row r="41" spans="1:5">
      <c r="A41" s="48" t="s">
        <v>33</v>
      </c>
      <c r="B41" s="111">
        <v>12.33</v>
      </c>
      <c r="C41" s="15"/>
      <c r="D41" s="7"/>
    </row>
    <row r="42" spans="1:5">
      <c r="A42" s="48" t="s">
        <v>34</v>
      </c>
      <c r="B42" s="112">
        <f>B41*0.5*B37*24</f>
        <v>118.36800000000001</v>
      </c>
      <c r="C42" s="32"/>
    </row>
    <row r="43" spans="1:5">
      <c r="A43" s="40" t="s">
        <v>35</v>
      </c>
      <c r="B43" s="113">
        <f>B42*E7/B38</f>
        <v>5.0772110093684771E-2</v>
      </c>
      <c r="C43" s="33"/>
    </row>
    <row r="44" spans="1:5">
      <c r="A44" s="6" t="s">
        <v>164</v>
      </c>
      <c r="B44" s="7">
        <f>B14+B17+F17+B31+B40</f>
        <v>4.6786951799340226</v>
      </c>
      <c r="C44" s="7"/>
      <c r="D44" s="7"/>
      <c r="E44" s="7"/>
    </row>
    <row r="45" spans="1:5">
      <c r="A45" s="6" t="s">
        <v>165</v>
      </c>
      <c r="B45" s="7">
        <f>B20+D20+B33+B43</f>
        <v>0.47966321930104472</v>
      </c>
      <c r="C45" s="7"/>
      <c r="D45" s="7"/>
      <c r="E45" s="7"/>
    </row>
    <row r="46" spans="1:5">
      <c r="A46" s="35" t="s">
        <v>166</v>
      </c>
      <c r="B46" s="114"/>
      <c r="C46" s="114"/>
    </row>
    <row r="47" spans="1:5">
      <c r="A47" s="38" t="s">
        <v>161</v>
      </c>
      <c r="B47" s="106" t="s">
        <v>214</v>
      </c>
      <c r="C47" s="106" t="s">
        <v>215</v>
      </c>
    </row>
    <row r="48" spans="1:5">
      <c r="A48" s="48" t="s">
        <v>47</v>
      </c>
      <c r="B48" s="82">
        <v>30</v>
      </c>
      <c r="C48" s="82">
        <v>31</v>
      </c>
    </row>
    <row r="49" spans="1:4">
      <c r="A49" s="48" t="s">
        <v>48</v>
      </c>
      <c r="B49" s="82">
        <v>28.5</v>
      </c>
      <c r="C49" s="82">
        <v>29</v>
      </c>
    </row>
    <row r="50" spans="1:4">
      <c r="A50" s="48" t="s">
        <v>38</v>
      </c>
      <c r="B50" s="82">
        <v>100000</v>
      </c>
      <c r="C50" s="82">
        <v>100000</v>
      </c>
    </row>
    <row r="51" spans="1:4">
      <c r="A51" s="48" t="s">
        <v>18</v>
      </c>
      <c r="B51" s="82">
        <v>0.95</v>
      </c>
      <c r="C51" s="82">
        <v>0.95</v>
      </c>
    </row>
    <row r="52" spans="1:4">
      <c r="A52" s="38" t="s">
        <v>50</v>
      </c>
      <c r="B52" s="83">
        <f>7.2*B50*B51/(B48*B49)</f>
        <v>800</v>
      </c>
      <c r="C52" s="83">
        <f>7.2*C50*C51/(C48*C49)</f>
        <v>760.84538375973307</v>
      </c>
    </row>
    <row r="53" spans="1:4">
      <c r="A53" s="38" t="s">
        <v>169</v>
      </c>
      <c r="B53" s="112">
        <v>320</v>
      </c>
      <c r="C53" s="112">
        <v>320</v>
      </c>
    </row>
    <row r="54" spans="1:4">
      <c r="A54" s="48" t="s">
        <v>167</v>
      </c>
      <c r="B54" s="150">
        <v>68.180000000000007</v>
      </c>
      <c r="C54" s="150">
        <v>68.180000000000007</v>
      </c>
    </row>
    <row r="55" spans="1:4">
      <c r="A55" s="38" t="s">
        <v>168</v>
      </c>
      <c r="B55" s="86">
        <f>B54/(B53*B52/1000)*8</f>
        <v>2.1306250000000002</v>
      </c>
      <c r="C55" s="86">
        <f>C54/(C53*C52/1000)*8</f>
        <v>2.2402711988304094</v>
      </c>
    </row>
    <row r="56" spans="1:4">
      <c r="A56" s="48" t="s">
        <v>54</v>
      </c>
      <c r="B56" s="82"/>
      <c r="C56" s="82"/>
    </row>
    <row r="57" spans="1:4">
      <c r="A57" s="48" t="s">
        <v>55</v>
      </c>
      <c r="B57" s="82">
        <v>100</v>
      </c>
      <c r="C57" s="82">
        <v>100</v>
      </c>
    </row>
    <row r="58" spans="1:4">
      <c r="A58" s="48" t="s">
        <v>57</v>
      </c>
      <c r="B58" s="82">
        <v>780</v>
      </c>
      <c r="C58" s="82">
        <v>780</v>
      </c>
    </row>
    <row r="59" spans="1:4">
      <c r="A59" s="48" t="s">
        <v>59</v>
      </c>
      <c r="B59" s="82">
        <f>SUM(B57:B58)</f>
        <v>880</v>
      </c>
      <c r="C59" s="82">
        <f>SUM(C57:C58)</f>
        <v>880</v>
      </c>
    </row>
    <row r="60" spans="1:4">
      <c r="A60" s="48" t="s">
        <v>170</v>
      </c>
      <c r="B60" s="82">
        <v>1264</v>
      </c>
      <c r="C60" s="82">
        <v>1264</v>
      </c>
    </row>
    <row r="61" spans="1:4">
      <c r="A61" s="48" t="s">
        <v>61</v>
      </c>
      <c r="B61" s="117">
        <v>0.94199999999999995</v>
      </c>
      <c r="C61" s="117">
        <v>0.94199999999999995</v>
      </c>
      <c r="D61" s="153"/>
    </row>
    <row r="62" spans="1:4">
      <c r="A62" s="48" t="s">
        <v>171</v>
      </c>
      <c r="B62" s="88">
        <f>B59*1000/(B60*3*B61)</f>
        <v>246.3561683105342</v>
      </c>
      <c r="C62" s="88">
        <f>C59*1000/(C60*3*C61)</f>
        <v>246.3561683105342</v>
      </c>
    </row>
    <row r="63" spans="1:4">
      <c r="A63" s="38" t="s">
        <v>64</v>
      </c>
      <c r="B63" s="86">
        <f>B62/B52</f>
        <v>0.30794521038816774</v>
      </c>
      <c r="C63" s="86">
        <f>C62/C52</f>
        <v>0.32379268320346527</v>
      </c>
    </row>
    <row r="64" spans="1:4">
      <c r="A64" s="48" t="s">
        <v>174</v>
      </c>
      <c r="B64" s="115">
        <f>8*22.5</f>
        <v>180</v>
      </c>
      <c r="C64" s="115">
        <f>8*22.5</f>
        <v>180</v>
      </c>
    </row>
    <row r="65" spans="1:3">
      <c r="A65" s="48" t="s">
        <v>172</v>
      </c>
      <c r="B65" s="82">
        <f>2*8</f>
        <v>16</v>
      </c>
      <c r="C65" s="82">
        <f>2*8</f>
        <v>16</v>
      </c>
    </row>
    <row r="66" spans="1:3">
      <c r="A66" s="48" t="s">
        <v>175</v>
      </c>
      <c r="B66" s="82">
        <f>2*8</f>
        <v>16</v>
      </c>
      <c r="C66" s="82">
        <f>2*8</f>
        <v>16</v>
      </c>
    </row>
    <row r="67" spans="1:3">
      <c r="A67" s="48" t="s">
        <v>42</v>
      </c>
      <c r="B67" s="82">
        <f t="shared" ref="B67:C70" si="0">1*22.5</f>
        <v>22.5</v>
      </c>
      <c r="C67" s="82">
        <f t="shared" si="0"/>
        <v>22.5</v>
      </c>
    </row>
    <row r="68" spans="1:3">
      <c r="A68" s="48" t="s">
        <v>173</v>
      </c>
      <c r="B68" s="82">
        <f t="shared" si="0"/>
        <v>22.5</v>
      </c>
      <c r="C68" s="82">
        <f t="shared" si="0"/>
        <v>22.5</v>
      </c>
    </row>
    <row r="69" spans="1:3">
      <c r="A69" s="48" t="s">
        <v>41</v>
      </c>
      <c r="B69" s="82">
        <f t="shared" si="0"/>
        <v>22.5</v>
      </c>
      <c r="C69" s="82">
        <f t="shared" si="0"/>
        <v>22.5</v>
      </c>
    </row>
    <row r="70" spans="1:3">
      <c r="A70" s="48" t="s">
        <v>116</v>
      </c>
      <c r="B70" s="82">
        <f t="shared" si="0"/>
        <v>22.5</v>
      </c>
      <c r="C70" s="82">
        <f t="shared" si="0"/>
        <v>22.5</v>
      </c>
    </row>
    <row r="71" spans="1:3">
      <c r="A71" s="48" t="s">
        <v>76</v>
      </c>
      <c r="B71" s="90">
        <f>58*0.2</f>
        <v>11.600000000000001</v>
      </c>
      <c r="C71" s="90">
        <f>58*0.2</f>
        <v>11.600000000000001</v>
      </c>
    </row>
    <row r="72" spans="1:3">
      <c r="A72" s="48" t="s">
        <v>122</v>
      </c>
      <c r="B72" s="90">
        <f>9*8*0.2</f>
        <v>14.4</v>
      </c>
      <c r="C72" s="90">
        <f>9*8*0.2</f>
        <v>14.4</v>
      </c>
    </row>
    <row r="73" spans="1:3">
      <c r="A73" s="48" t="s">
        <v>121</v>
      </c>
      <c r="B73" s="90">
        <f>1*8*0.2</f>
        <v>1.6</v>
      </c>
      <c r="C73" s="90">
        <f>1*8*0.2</f>
        <v>1.6</v>
      </c>
    </row>
    <row r="74" spans="1:3">
      <c r="A74" s="48" t="s">
        <v>77</v>
      </c>
      <c r="B74" s="90">
        <f>1*8*0.2</f>
        <v>1.6</v>
      </c>
      <c r="C74" s="90">
        <f>1*8*0.2</f>
        <v>1.6</v>
      </c>
    </row>
    <row r="75" spans="1:3">
      <c r="A75" s="48" t="s">
        <v>78</v>
      </c>
      <c r="B75" s="90">
        <f>2*8*0.2</f>
        <v>3.2</v>
      </c>
      <c r="C75" s="90">
        <f>2*8*0.2</f>
        <v>3.2</v>
      </c>
    </row>
    <row r="76" spans="1:3">
      <c r="A76" s="48" t="s">
        <v>79</v>
      </c>
      <c r="B76" s="90">
        <f>4*8*0.2</f>
        <v>6.4</v>
      </c>
      <c r="C76" s="90">
        <f>4*8*0.2</f>
        <v>6.4</v>
      </c>
    </row>
    <row r="77" spans="1:3">
      <c r="A77" s="48" t="s">
        <v>176</v>
      </c>
      <c r="B77" s="90">
        <f>SUM(B64:B76)</f>
        <v>340.8</v>
      </c>
      <c r="C77" s="90">
        <f>SUM(C64:C76)</f>
        <v>340.8</v>
      </c>
    </row>
    <row r="78" spans="1:3">
      <c r="A78" s="48" t="s">
        <v>177</v>
      </c>
      <c r="B78" s="88">
        <f>B77*1000/(B60*3*B61)</f>
        <v>95.407025182079607</v>
      </c>
      <c r="C78" s="88">
        <f>C77*1000/(C60*3*C61)</f>
        <v>95.407025182079607</v>
      </c>
    </row>
    <row r="79" spans="1:3">
      <c r="A79" s="40" t="s">
        <v>82</v>
      </c>
      <c r="B79" s="91">
        <f>B78*100*$E$8/B52</f>
        <v>11.925878147759953</v>
      </c>
      <c r="C79" s="91">
        <f>C78*100*$E$8/C52</f>
        <v>12.539607549516019</v>
      </c>
    </row>
    <row r="81" spans="1:3">
      <c r="A81" s="35" t="s">
        <v>92</v>
      </c>
      <c r="B81" s="62"/>
      <c r="C81" s="62"/>
    </row>
    <row r="82" spans="1:3">
      <c r="A82" s="23" t="s">
        <v>93</v>
      </c>
      <c r="B82" s="82"/>
      <c r="C82" s="82"/>
    </row>
    <row r="83" spans="1:3">
      <c r="A83" s="23" t="s">
        <v>140</v>
      </c>
      <c r="B83" s="82"/>
      <c r="C83" s="82"/>
    </row>
    <row r="84" spans="1:3">
      <c r="A84" s="23" t="s">
        <v>102</v>
      </c>
      <c r="B84" s="82"/>
      <c r="C84" s="82"/>
    </row>
    <row r="85" spans="1:3">
      <c r="A85" s="23" t="s">
        <v>206</v>
      </c>
      <c r="B85" s="82">
        <v>60</v>
      </c>
      <c r="C85" s="82">
        <v>60</v>
      </c>
    </row>
    <row r="86" spans="1:3">
      <c r="A86" s="23" t="s">
        <v>207</v>
      </c>
      <c r="B86" s="82">
        <v>20</v>
      </c>
      <c r="C86" s="82">
        <v>20</v>
      </c>
    </row>
    <row r="87" spans="1:3">
      <c r="A87" s="38" t="s">
        <v>102</v>
      </c>
      <c r="B87" s="86">
        <f>8*100/B85/B86</f>
        <v>0.66666666666666674</v>
      </c>
      <c r="C87" s="86">
        <f>8*100/C85/C86</f>
        <v>0.66666666666666674</v>
      </c>
    </row>
    <row r="88" spans="1:3">
      <c r="A88" s="23" t="s">
        <v>129</v>
      </c>
      <c r="B88" s="90">
        <v>3200</v>
      </c>
      <c r="C88" s="90">
        <v>3200</v>
      </c>
    </row>
    <row r="89" spans="1:3">
      <c r="A89" s="23" t="s">
        <v>130</v>
      </c>
      <c r="B89" s="88">
        <f>3*8</f>
        <v>24</v>
      </c>
      <c r="C89" s="88">
        <f>3*8</f>
        <v>24</v>
      </c>
    </row>
    <row r="90" spans="1:3">
      <c r="A90" s="38" t="s">
        <v>102</v>
      </c>
      <c r="B90" s="89">
        <f>B89*100/B88</f>
        <v>0.75</v>
      </c>
      <c r="C90" s="89">
        <f>C89*100/C88</f>
        <v>0.75</v>
      </c>
    </row>
    <row r="91" spans="1:3">
      <c r="A91" s="23" t="s">
        <v>132</v>
      </c>
      <c r="B91" s="90">
        <v>12000</v>
      </c>
      <c r="C91" s="90">
        <v>12000</v>
      </c>
    </row>
    <row r="92" spans="1:3">
      <c r="A92" s="23" t="s">
        <v>130</v>
      </c>
      <c r="B92" s="90">
        <f>4*8</f>
        <v>32</v>
      </c>
      <c r="C92" s="90">
        <f>4*8</f>
        <v>32</v>
      </c>
    </row>
    <row r="93" spans="1:3">
      <c r="A93" s="23" t="s">
        <v>31</v>
      </c>
      <c r="B93" s="85">
        <f>B92*100/B91</f>
        <v>0.26666666666666666</v>
      </c>
      <c r="C93" s="85">
        <f>C92*100/C91</f>
        <v>0.26666666666666666</v>
      </c>
    </row>
    <row r="94" spans="1:3">
      <c r="A94" s="38" t="s">
        <v>31</v>
      </c>
      <c r="B94" s="89">
        <f>B84+B87+B90+B93</f>
        <v>1.6833333333333333</v>
      </c>
      <c r="C94" s="89">
        <f>C84+C87+C90+C93</f>
        <v>1.6833333333333333</v>
      </c>
    </row>
    <row r="96" spans="1:3">
      <c r="B96" s="9"/>
      <c r="C96" s="9"/>
    </row>
    <row r="97" spans="1:3">
      <c r="A97" s="35" t="s">
        <v>94</v>
      </c>
      <c r="B97" s="97" t="str">
        <f>B47</f>
        <v>30s O.E II Q</v>
      </c>
      <c r="C97" s="97" t="str">
        <f>C47</f>
        <v>31s O.E II Q</v>
      </c>
    </row>
    <row r="98" spans="1:3">
      <c r="A98" s="38" t="s">
        <v>95</v>
      </c>
      <c r="B98" s="98">
        <f>B52</f>
        <v>800</v>
      </c>
      <c r="C98" s="98">
        <f>C52</f>
        <v>760.84538375973307</v>
      </c>
    </row>
    <row r="99" spans="1:3">
      <c r="A99" s="38" t="s">
        <v>96</v>
      </c>
      <c r="B99" s="99">
        <f>B55</f>
        <v>2.1306250000000002</v>
      </c>
      <c r="C99" s="99">
        <f>C55</f>
        <v>2.2402711988304094</v>
      </c>
    </row>
    <row r="100" spans="1:3">
      <c r="A100" s="38" t="s">
        <v>64</v>
      </c>
      <c r="B100" s="99">
        <f>B63</f>
        <v>0.30794521038816774</v>
      </c>
      <c r="C100" s="99">
        <f>C63</f>
        <v>0.32379268320346527</v>
      </c>
    </row>
    <row r="101" spans="1:3">
      <c r="A101" s="38" t="s">
        <v>97</v>
      </c>
      <c r="B101" s="99">
        <f>B45</f>
        <v>0.47966321930104472</v>
      </c>
      <c r="C101" s="99">
        <f>C45</f>
        <v>0</v>
      </c>
    </row>
    <row r="102" spans="1:3">
      <c r="A102" s="38" t="s">
        <v>98</v>
      </c>
      <c r="B102" s="99">
        <f>B44+B79</f>
        <v>16.604573327693977</v>
      </c>
      <c r="C102" s="99">
        <f>C44+C79</f>
        <v>12.539607549516019</v>
      </c>
    </row>
    <row r="103" spans="1:3">
      <c r="A103" s="38" t="s">
        <v>100</v>
      </c>
      <c r="B103" s="99">
        <f>B94</f>
        <v>1.6833333333333333</v>
      </c>
      <c r="C103" s="99">
        <f>C94</f>
        <v>1.6833333333333333</v>
      </c>
    </row>
    <row r="104" spans="1:3">
      <c r="A104" s="40" t="s">
        <v>141</v>
      </c>
      <c r="B104" s="100"/>
      <c r="C104" s="100"/>
    </row>
    <row r="105" spans="1:3">
      <c r="A105" s="6"/>
      <c r="B105" s="13"/>
      <c r="C105" s="116"/>
    </row>
    <row r="106" spans="1:3">
      <c r="A106" s="6"/>
      <c r="C106" s="96"/>
    </row>
    <row r="107" spans="1:3">
      <c r="A107" s="6"/>
      <c r="B107" s="18"/>
      <c r="C107" s="96"/>
    </row>
    <row r="108" spans="1:3">
      <c r="A108" s="6"/>
      <c r="B108" s="19"/>
      <c r="C108" s="96"/>
    </row>
    <row r="109" spans="1:3">
      <c r="A109" s="6"/>
      <c r="B109" s="20"/>
      <c r="C109" s="96"/>
    </row>
    <row r="110" spans="1:3">
      <c r="C110" s="96"/>
    </row>
    <row r="111" spans="1:3">
      <c r="C111" s="96"/>
    </row>
    <row r="112" spans="1:3">
      <c r="C112" s="46"/>
    </row>
  </sheetData>
  <mergeCells count="1">
    <mergeCell ref="A2:F2"/>
  </mergeCells>
  <phoneticPr fontId="0" type="noConversion"/>
  <pageMargins left="0.75" right="0.75" top="1" bottom="1" header="0.5" footer="0.5"/>
  <pageSetup scale="86" orientation="portrait" r:id="rId1"/>
  <headerFooter alignWithMargins="0"/>
  <rowBreaks count="2" manualBreakCount="2">
    <brk id="45" max="16383" man="1"/>
    <brk id="10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H22"/>
  <sheetViews>
    <sheetView workbookViewId="0">
      <selection activeCell="D12" sqref="D12"/>
    </sheetView>
  </sheetViews>
  <sheetFormatPr defaultRowHeight="12.75"/>
  <cols>
    <col min="1" max="1" width="22.28515625" customWidth="1"/>
    <col min="2" max="8" width="15.7109375" customWidth="1"/>
  </cols>
  <sheetData>
    <row r="1" spans="1:8" ht="24" customHeight="1">
      <c r="A1" s="275" t="s">
        <v>295</v>
      </c>
      <c r="B1" s="276"/>
      <c r="C1" s="276"/>
      <c r="D1" s="276"/>
      <c r="E1" s="276"/>
      <c r="F1" s="276"/>
      <c r="G1" s="276"/>
      <c r="H1" s="277"/>
    </row>
    <row r="2" spans="1:8" ht="17.25" customHeight="1">
      <c r="A2" s="227" t="s">
        <v>221</v>
      </c>
      <c r="B2" s="201" t="s">
        <v>257</v>
      </c>
      <c r="C2" s="228" t="s">
        <v>307</v>
      </c>
      <c r="D2" s="202" t="s">
        <v>16</v>
      </c>
      <c r="E2" s="227" t="s">
        <v>220</v>
      </c>
      <c r="F2" s="202" t="s">
        <v>287</v>
      </c>
      <c r="G2" s="202" t="s">
        <v>33</v>
      </c>
      <c r="H2" s="204" t="s">
        <v>288</v>
      </c>
    </row>
    <row r="3" spans="1:8" ht="17.25" customHeight="1">
      <c r="A3" s="274" t="s">
        <v>3</v>
      </c>
      <c r="B3" s="229">
        <v>1</v>
      </c>
      <c r="C3" s="230">
        <v>1</v>
      </c>
      <c r="D3" s="231">
        <v>1.5E-3</v>
      </c>
      <c r="E3" s="232">
        <v>11</v>
      </c>
      <c r="F3" s="207">
        <v>90</v>
      </c>
      <c r="G3" s="232">
        <v>29</v>
      </c>
      <c r="H3" s="207">
        <v>69</v>
      </c>
    </row>
    <row r="4" spans="1:8" ht="17.25" customHeight="1">
      <c r="A4" s="274"/>
      <c r="B4" s="233" t="s">
        <v>248</v>
      </c>
      <c r="C4" s="234">
        <f t="shared" ref="C4:H4" si="0">AVERAGE(C3:C3)</f>
        <v>1</v>
      </c>
      <c r="D4" s="235">
        <f t="shared" si="0"/>
        <v>1.5E-3</v>
      </c>
      <c r="E4" s="236">
        <f t="shared" si="0"/>
        <v>11</v>
      </c>
      <c r="F4" s="236">
        <f t="shared" si="0"/>
        <v>90</v>
      </c>
      <c r="G4" s="236">
        <f t="shared" si="0"/>
        <v>29</v>
      </c>
      <c r="H4" s="236">
        <f t="shared" si="0"/>
        <v>69</v>
      </c>
    </row>
    <row r="5" spans="1:8" ht="17.25" customHeight="1">
      <c r="A5" s="237"/>
      <c r="B5" s="237"/>
      <c r="C5" s="237"/>
      <c r="D5" s="237"/>
      <c r="E5" s="237"/>
      <c r="F5" s="237"/>
      <c r="G5" s="237"/>
      <c r="H5" s="237"/>
    </row>
    <row r="6" spans="1:8" ht="17.25" customHeight="1">
      <c r="A6" s="274" t="s">
        <v>4</v>
      </c>
      <c r="B6" s="229">
        <v>1</v>
      </c>
      <c r="C6" s="230">
        <v>1</v>
      </c>
      <c r="D6" s="224">
        <v>0.15</v>
      </c>
      <c r="E6" s="232">
        <v>110</v>
      </c>
      <c r="F6" s="207">
        <v>90</v>
      </c>
      <c r="G6" s="232">
        <v>22</v>
      </c>
      <c r="H6" s="207">
        <v>72</v>
      </c>
    </row>
    <row r="7" spans="1:8" ht="17.25" customHeight="1">
      <c r="A7" s="274"/>
      <c r="B7" s="229">
        <v>2</v>
      </c>
      <c r="C7" s="230">
        <v>1</v>
      </c>
      <c r="D7" s="224"/>
      <c r="E7" s="232"/>
      <c r="F7" s="207"/>
      <c r="G7" s="232"/>
      <c r="H7" s="207"/>
    </row>
    <row r="8" spans="1:8" ht="17.25" customHeight="1">
      <c r="A8" s="274"/>
      <c r="B8" s="229">
        <v>3</v>
      </c>
      <c r="C8" s="230">
        <v>1</v>
      </c>
      <c r="D8" s="224"/>
      <c r="E8" s="232"/>
      <c r="F8" s="207"/>
      <c r="G8" s="232"/>
      <c r="H8" s="207"/>
    </row>
    <row r="9" spans="1:8" ht="17.25" customHeight="1">
      <c r="A9" s="274"/>
      <c r="B9" s="229">
        <v>4</v>
      </c>
      <c r="C9" s="230">
        <v>1</v>
      </c>
      <c r="D9" s="224"/>
      <c r="E9" s="232"/>
      <c r="F9" s="207"/>
      <c r="G9" s="232"/>
      <c r="H9" s="207"/>
    </row>
    <row r="10" spans="1:8" ht="17.25" customHeight="1">
      <c r="A10" s="274"/>
      <c r="B10" s="229">
        <v>5</v>
      </c>
      <c r="C10" s="230">
        <v>1</v>
      </c>
      <c r="D10" s="224"/>
      <c r="E10" s="232"/>
      <c r="F10" s="207"/>
      <c r="G10" s="232"/>
      <c r="H10" s="207"/>
    </row>
    <row r="11" spans="1:8" ht="17.25" customHeight="1">
      <c r="A11" s="274"/>
      <c r="B11" s="233" t="s">
        <v>248</v>
      </c>
      <c r="C11" s="234">
        <f t="shared" ref="C11:H11" si="1">AVERAGE(C6:C10)</f>
        <v>1</v>
      </c>
      <c r="D11" s="238">
        <f t="shared" si="1"/>
        <v>0.15</v>
      </c>
      <c r="E11" s="236">
        <f t="shared" si="1"/>
        <v>110</v>
      </c>
      <c r="F11" s="236">
        <f t="shared" si="1"/>
        <v>90</v>
      </c>
      <c r="G11" s="236">
        <f t="shared" si="1"/>
        <v>22</v>
      </c>
      <c r="H11" s="236">
        <f t="shared" si="1"/>
        <v>72</v>
      </c>
    </row>
    <row r="12" spans="1:8" ht="17.25" customHeight="1">
      <c r="A12" s="237"/>
      <c r="B12" s="237"/>
      <c r="C12" s="237"/>
      <c r="D12" s="237"/>
      <c r="E12" s="237"/>
      <c r="F12" s="237"/>
      <c r="G12" s="237"/>
      <c r="H12" s="237"/>
    </row>
    <row r="13" spans="1:8" ht="17.25" customHeight="1">
      <c r="A13" s="274" t="s">
        <v>301</v>
      </c>
      <c r="B13" s="229">
        <v>1</v>
      </c>
      <c r="C13" s="230">
        <v>2</v>
      </c>
      <c r="D13" s="224">
        <v>0.155</v>
      </c>
      <c r="E13" s="232">
        <v>450</v>
      </c>
      <c r="F13" s="207">
        <v>85</v>
      </c>
      <c r="G13" s="232">
        <v>9.5</v>
      </c>
      <c r="H13" s="207">
        <v>44</v>
      </c>
    </row>
    <row r="14" spans="1:8" ht="17.25" customHeight="1">
      <c r="A14" s="274"/>
      <c r="B14" s="233" t="s">
        <v>248</v>
      </c>
      <c r="C14" s="234">
        <f t="shared" ref="C14:H14" si="2">AVERAGE(C13:C13)</f>
        <v>2</v>
      </c>
      <c r="D14" s="238">
        <f t="shared" si="2"/>
        <v>0.155</v>
      </c>
      <c r="E14" s="236">
        <f t="shared" si="2"/>
        <v>450</v>
      </c>
      <c r="F14" s="236">
        <f t="shared" si="2"/>
        <v>85</v>
      </c>
      <c r="G14" s="236">
        <f t="shared" si="2"/>
        <v>9.5</v>
      </c>
      <c r="H14" s="236">
        <f t="shared" si="2"/>
        <v>44</v>
      </c>
    </row>
    <row r="15" spans="1:8" ht="17.25" customHeight="1">
      <c r="A15" s="237"/>
      <c r="B15" s="237"/>
      <c r="C15" s="237"/>
      <c r="D15" s="237"/>
      <c r="E15" s="237"/>
      <c r="F15" s="237"/>
      <c r="G15" s="237"/>
      <c r="H15" s="237"/>
    </row>
    <row r="16" spans="1:8" ht="17.25" customHeight="1">
      <c r="A16" s="274" t="s">
        <v>302</v>
      </c>
      <c r="B16" s="229">
        <v>1</v>
      </c>
      <c r="C16" s="230">
        <v>1</v>
      </c>
      <c r="D16" s="224">
        <v>0.16</v>
      </c>
      <c r="E16" s="232">
        <v>450</v>
      </c>
      <c r="F16" s="207">
        <v>85</v>
      </c>
      <c r="G16" s="232">
        <v>9.5</v>
      </c>
      <c r="H16" s="207">
        <v>44</v>
      </c>
    </row>
    <row r="17" spans="1:8" ht="17.25" customHeight="1">
      <c r="A17" s="274"/>
      <c r="B17" s="229">
        <v>2</v>
      </c>
      <c r="C17" s="230">
        <v>1</v>
      </c>
      <c r="D17" s="224">
        <v>0.16</v>
      </c>
      <c r="E17" s="232">
        <v>450</v>
      </c>
      <c r="F17" s="207">
        <v>85</v>
      </c>
      <c r="G17" s="232">
        <v>9.5</v>
      </c>
      <c r="H17" s="207">
        <v>44</v>
      </c>
    </row>
    <row r="18" spans="1:8" ht="17.25" customHeight="1">
      <c r="A18" s="274"/>
      <c r="B18" s="233" t="s">
        <v>248</v>
      </c>
      <c r="C18" s="234">
        <f t="shared" ref="C18:H18" si="3">AVERAGE(C16:C17)</f>
        <v>1</v>
      </c>
      <c r="D18" s="238">
        <f t="shared" si="3"/>
        <v>0.16</v>
      </c>
      <c r="E18" s="236">
        <f t="shared" si="3"/>
        <v>450</v>
      </c>
      <c r="F18" s="236">
        <f t="shared" si="3"/>
        <v>85</v>
      </c>
      <c r="G18" s="236">
        <f t="shared" si="3"/>
        <v>9.5</v>
      </c>
      <c r="H18" s="236">
        <f t="shared" si="3"/>
        <v>44</v>
      </c>
    </row>
    <row r="19" spans="1:8" ht="17.25" customHeight="1">
      <c r="A19" s="237"/>
      <c r="B19" s="237"/>
      <c r="C19" s="237"/>
      <c r="D19" s="237"/>
      <c r="E19" s="237"/>
      <c r="F19" s="237"/>
      <c r="G19" s="237"/>
      <c r="H19" s="237"/>
    </row>
    <row r="20" spans="1:8" ht="17.25" customHeight="1">
      <c r="A20" s="274" t="s">
        <v>6</v>
      </c>
      <c r="B20" s="229">
        <v>1</v>
      </c>
      <c r="C20" s="230">
        <v>132</v>
      </c>
      <c r="D20" s="224">
        <v>1.6</v>
      </c>
      <c r="E20" s="232">
        <v>21.29</v>
      </c>
      <c r="F20" s="207">
        <v>85</v>
      </c>
      <c r="G20" s="232">
        <v>12.5</v>
      </c>
      <c r="H20" s="207">
        <v>65</v>
      </c>
    </row>
    <row r="21" spans="1:8" ht="17.25" customHeight="1">
      <c r="A21" s="274"/>
      <c r="B21" s="229">
        <v>2</v>
      </c>
      <c r="C21" s="230">
        <v>132</v>
      </c>
      <c r="D21" s="224">
        <v>1.6</v>
      </c>
      <c r="E21" s="232">
        <v>21.29</v>
      </c>
      <c r="F21" s="207">
        <v>85</v>
      </c>
      <c r="G21" s="232">
        <v>12.5</v>
      </c>
      <c r="H21" s="207">
        <v>65</v>
      </c>
    </row>
    <row r="22" spans="1:8" ht="17.25" customHeight="1">
      <c r="A22" s="274"/>
      <c r="B22" s="233" t="s">
        <v>248</v>
      </c>
      <c r="C22" s="234">
        <f t="shared" ref="C22:H22" si="4">AVERAGE(C20:C21)</f>
        <v>132</v>
      </c>
      <c r="D22" s="238">
        <f t="shared" si="4"/>
        <v>1.6</v>
      </c>
      <c r="E22" s="236">
        <f t="shared" si="4"/>
        <v>21.29</v>
      </c>
      <c r="F22" s="236">
        <f t="shared" si="4"/>
        <v>85</v>
      </c>
      <c r="G22" s="236">
        <f t="shared" si="4"/>
        <v>12.5</v>
      </c>
      <c r="H22" s="236">
        <f t="shared" si="4"/>
        <v>65</v>
      </c>
    </row>
  </sheetData>
  <mergeCells count="6">
    <mergeCell ref="A20:A22"/>
    <mergeCell ref="A6:A11"/>
    <mergeCell ref="A13:A14"/>
    <mergeCell ref="A16:A18"/>
    <mergeCell ref="A1:H1"/>
    <mergeCell ref="A3:A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1"/>
  <sheetViews>
    <sheetView topLeftCell="A13" zoomScaleSheetLayoutView="100" workbookViewId="0">
      <selection activeCell="C12" sqref="C12"/>
    </sheetView>
  </sheetViews>
  <sheetFormatPr defaultRowHeight="12.75"/>
  <cols>
    <col min="1" max="1" width="6.5703125" customWidth="1"/>
    <col min="2" max="3" width="12.28515625" customWidth="1"/>
    <col min="4" max="4" width="13.140625" customWidth="1"/>
    <col min="5" max="6" width="12.28515625" customWidth="1"/>
    <col min="7" max="7" width="12.7109375" customWidth="1"/>
    <col min="8" max="9" width="12.28515625" customWidth="1"/>
  </cols>
  <sheetData>
    <row r="1" spans="1:9" ht="24" customHeight="1">
      <c r="A1" s="278" t="s">
        <v>297</v>
      </c>
      <c r="B1" s="278"/>
      <c r="C1" s="278"/>
      <c r="D1" s="278"/>
      <c r="E1" s="278"/>
      <c r="F1" s="278"/>
      <c r="G1" s="278"/>
      <c r="H1" s="278"/>
      <c r="I1" s="278"/>
    </row>
    <row r="2" spans="1:9" ht="24" customHeight="1">
      <c r="A2" s="239" t="s">
        <v>274</v>
      </c>
      <c r="B2" s="240">
        <f ca="1">TODAY()</f>
        <v>45161</v>
      </c>
      <c r="C2" s="239"/>
      <c r="D2" s="239"/>
      <c r="E2" s="239"/>
      <c r="F2" s="239"/>
      <c r="G2" s="239"/>
      <c r="H2" s="239"/>
      <c r="I2" s="239"/>
    </row>
    <row r="3" spans="1:9" ht="24" customHeight="1">
      <c r="A3" s="279" t="s">
        <v>259</v>
      </c>
      <c r="B3" s="279" t="s">
        <v>273</v>
      </c>
      <c r="C3" s="260" t="s">
        <v>260</v>
      </c>
      <c r="D3" s="260" t="s">
        <v>262</v>
      </c>
      <c r="E3" s="255" t="s">
        <v>265</v>
      </c>
      <c r="F3" s="255" t="s">
        <v>266</v>
      </c>
      <c r="G3" s="255" t="s">
        <v>267</v>
      </c>
      <c r="H3" s="255" t="s">
        <v>269</v>
      </c>
      <c r="I3" s="279" t="s">
        <v>240</v>
      </c>
    </row>
    <row r="4" spans="1:9" ht="24" customHeight="1">
      <c r="A4" s="279"/>
      <c r="B4" s="279"/>
      <c r="C4" s="261" t="s">
        <v>261</v>
      </c>
      <c r="D4" s="261" t="s">
        <v>263</v>
      </c>
      <c r="E4" s="255" t="s">
        <v>264</v>
      </c>
      <c r="F4" s="255" t="s">
        <v>264</v>
      </c>
      <c r="G4" s="255" t="s">
        <v>268</v>
      </c>
      <c r="H4" s="255" t="s">
        <v>270</v>
      </c>
      <c r="I4" s="279"/>
    </row>
    <row r="5" spans="1:9" ht="24" customHeight="1">
      <c r="A5" s="279"/>
      <c r="B5" s="279"/>
      <c r="C5" s="255" t="s">
        <v>275</v>
      </c>
      <c r="D5" s="255" t="s">
        <v>277</v>
      </c>
      <c r="E5" s="253">
        <v>10</v>
      </c>
      <c r="F5" s="253">
        <v>25.4</v>
      </c>
      <c r="G5" s="253">
        <v>210</v>
      </c>
      <c r="H5" s="253">
        <v>42</v>
      </c>
      <c r="I5" s="279"/>
    </row>
    <row r="6" spans="1:9" ht="24" customHeight="1">
      <c r="A6" s="279"/>
      <c r="B6" s="279"/>
      <c r="C6" s="255" t="s">
        <v>276</v>
      </c>
      <c r="D6" s="255" t="s">
        <v>278</v>
      </c>
      <c r="E6" s="255" t="s">
        <v>279</v>
      </c>
      <c r="F6" s="255" t="s">
        <v>280</v>
      </c>
      <c r="G6" s="255" t="s">
        <v>281</v>
      </c>
      <c r="H6" s="255" t="s">
        <v>282</v>
      </c>
      <c r="I6" s="279"/>
    </row>
    <row r="7" spans="1:9" ht="24" customHeight="1">
      <c r="A7" s="279"/>
      <c r="B7" s="279"/>
      <c r="C7" s="262">
        <v>3</v>
      </c>
      <c r="D7" s="262">
        <v>3</v>
      </c>
      <c r="E7" s="262">
        <v>2</v>
      </c>
      <c r="F7" s="262">
        <v>1</v>
      </c>
      <c r="G7" s="262">
        <v>1</v>
      </c>
      <c r="H7" s="262">
        <v>2</v>
      </c>
      <c r="I7" s="279"/>
    </row>
    <row r="8" spans="1:9" ht="24" customHeight="1">
      <c r="A8" s="241"/>
      <c r="B8" s="241"/>
      <c r="C8" s="242"/>
      <c r="D8" s="242"/>
      <c r="E8" s="242"/>
      <c r="F8" s="242"/>
      <c r="G8" s="242"/>
      <c r="H8" s="242"/>
      <c r="I8" s="241"/>
    </row>
    <row r="9" spans="1:9" ht="24" customHeight="1">
      <c r="A9" s="243">
        <v>1</v>
      </c>
      <c r="B9" s="243" t="s">
        <v>303</v>
      </c>
      <c r="C9" s="244">
        <v>0</v>
      </c>
      <c r="D9" s="245">
        <v>3</v>
      </c>
      <c r="E9" s="244">
        <v>10</v>
      </c>
      <c r="F9" s="244">
        <v>18.5</v>
      </c>
      <c r="G9" s="244">
        <v>190</v>
      </c>
      <c r="H9" s="244">
        <v>38</v>
      </c>
      <c r="I9" s="246">
        <f>(0.92)-(((C9+D9)+((E9-$E$5)/1)*($E$7)+(($F$5-F9)/1*($F$7))+(($G$5-G9)/10*($G$7))+(($H$5-H9)/1*($H$7)))/100)</f>
        <v>0.72100000000000009</v>
      </c>
    </row>
    <row r="10" spans="1:9" ht="24" customHeight="1">
      <c r="A10" s="247">
        <v>2</v>
      </c>
      <c r="B10" s="248"/>
      <c r="C10" s="249"/>
      <c r="D10" s="250"/>
      <c r="E10" s="250"/>
      <c r="F10" s="250"/>
      <c r="G10" s="251"/>
      <c r="H10" s="252"/>
      <c r="I10" s="246">
        <f>I$9</f>
        <v>0.72100000000000009</v>
      </c>
    </row>
    <row r="11" spans="1:9" ht="24" customHeight="1">
      <c r="A11" s="243">
        <v>3</v>
      </c>
      <c r="B11" s="248"/>
      <c r="C11" s="249"/>
      <c r="D11" s="250"/>
      <c r="E11" s="253"/>
      <c r="F11" s="250"/>
      <c r="G11" s="251"/>
      <c r="H11" s="252"/>
      <c r="I11" s="246">
        <f t="shared" ref="I11:I19" si="0">I$9</f>
        <v>0.72100000000000009</v>
      </c>
    </row>
    <row r="12" spans="1:9" ht="24" customHeight="1">
      <c r="A12" s="247">
        <v>4</v>
      </c>
      <c r="B12" s="248"/>
      <c r="C12" s="249"/>
      <c r="D12" s="250"/>
      <c r="E12" s="250"/>
      <c r="F12" s="250"/>
      <c r="G12" s="251"/>
      <c r="H12" s="252"/>
      <c r="I12" s="246">
        <f t="shared" si="0"/>
        <v>0.72100000000000009</v>
      </c>
    </row>
    <row r="13" spans="1:9" ht="24" customHeight="1">
      <c r="A13" s="243">
        <v>5</v>
      </c>
      <c r="B13" s="248"/>
      <c r="C13" s="249"/>
      <c r="D13" s="250"/>
      <c r="E13" s="253"/>
      <c r="F13" s="250"/>
      <c r="G13" s="251"/>
      <c r="H13" s="252"/>
      <c r="I13" s="246">
        <f t="shared" si="0"/>
        <v>0.72100000000000009</v>
      </c>
    </row>
    <row r="14" spans="1:9" ht="24" customHeight="1">
      <c r="A14" s="247">
        <v>6</v>
      </c>
      <c r="B14" s="248"/>
      <c r="C14" s="249"/>
      <c r="D14" s="250"/>
      <c r="E14" s="250"/>
      <c r="F14" s="250"/>
      <c r="G14" s="251"/>
      <c r="H14" s="252"/>
      <c r="I14" s="246">
        <f t="shared" si="0"/>
        <v>0.72100000000000009</v>
      </c>
    </row>
    <row r="15" spans="1:9" ht="24" customHeight="1">
      <c r="A15" s="243">
        <v>7</v>
      </c>
      <c r="B15" s="248"/>
      <c r="C15" s="249"/>
      <c r="D15" s="250"/>
      <c r="E15" s="250"/>
      <c r="F15" s="250"/>
      <c r="G15" s="251"/>
      <c r="H15" s="252"/>
      <c r="I15" s="246">
        <f t="shared" si="0"/>
        <v>0.72100000000000009</v>
      </c>
    </row>
    <row r="16" spans="1:9" ht="24" customHeight="1">
      <c r="A16" s="247">
        <v>8</v>
      </c>
      <c r="B16" s="248"/>
      <c r="C16" s="249"/>
      <c r="D16" s="250"/>
      <c r="E16" s="250"/>
      <c r="F16" s="250"/>
      <c r="G16" s="251"/>
      <c r="H16" s="252"/>
      <c r="I16" s="246">
        <f t="shared" si="0"/>
        <v>0.72100000000000009</v>
      </c>
    </row>
    <row r="17" spans="1:9" ht="24" customHeight="1">
      <c r="A17" s="243">
        <v>9</v>
      </c>
      <c r="B17" s="248"/>
      <c r="C17" s="249"/>
      <c r="D17" s="250"/>
      <c r="E17" s="250"/>
      <c r="F17" s="250"/>
      <c r="G17" s="251"/>
      <c r="H17" s="252"/>
      <c r="I17" s="246">
        <f t="shared" si="0"/>
        <v>0.72100000000000009</v>
      </c>
    </row>
    <row r="18" spans="1:9" ht="24" customHeight="1">
      <c r="A18" s="247">
        <v>10</v>
      </c>
      <c r="B18" s="248"/>
      <c r="C18" s="249"/>
      <c r="D18" s="250"/>
      <c r="E18" s="250"/>
      <c r="F18" s="250"/>
      <c r="G18" s="251"/>
      <c r="H18" s="252"/>
      <c r="I18" s="246">
        <f t="shared" si="0"/>
        <v>0.72100000000000009</v>
      </c>
    </row>
    <row r="19" spans="1:9" ht="24" customHeight="1">
      <c r="A19" s="243">
        <v>11</v>
      </c>
      <c r="B19" s="248"/>
      <c r="C19" s="249"/>
      <c r="D19" s="250"/>
      <c r="E19" s="250"/>
      <c r="F19" s="250"/>
      <c r="G19" s="251"/>
      <c r="H19" s="252"/>
      <c r="I19" s="246">
        <f t="shared" si="0"/>
        <v>0.72100000000000009</v>
      </c>
    </row>
    <row r="20" spans="1:9" ht="24" customHeight="1">
      <c r="A20" s="181" t="s">
        <v>283</v>
      </c>
      <c r="B20" s="175"/>
      <c r="C20" s="175"/>
      <c r="D20" s="175"/>
      <c r="E20" s="175"/>
      <c r="F20" s="176"/>
      <c r="G20" s="176"/>
      <c r="H20" s="176"/>
      <c r="I20" s="176"/>
    </row>
    <row r="21" spans="1:9">
      <c r="A21" s="13"/>
      <c r="B21" s="13"/>
      <c r="C21" s="13"/>
      <c r="D21" s="13"/>
      <c r="E21" s="13"/>
      <c r="F21" s="177"/>
      <c r="G21" s="177"/>
      <c r="H21" s="177"/>
      <c r="I21" s="177"/>
    </row>
  </sheetData>
  <mergeCells count="4">
    <mergeCell ref="A1:I1"/>
    <mergeCell ref="A3:A7"/>
    <mergeCell ref="B3:B7"/>
    <mergeCell ref="I3:I7"/>
  </mergeCells>
  <pageMargins left="0.25" right="0" top="0" bottom="0" header="0" footer="0"/>
  <pageSetup paperSize="5" scale="98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"/>
  <sheetViews>
    <sheetView zoomScaleSheetLayoutView="100" workbookViewId="0">
      <selection activeCell="M17" sqref="M17"/>
    </sheetView>
  </sheetViews>
  <sheetFormatPr defaultRowHeight="12.75"/>
  <cols>
    <col min="8" max="9" width="9.28515625" customWidth="1"/>
  </cols>
  <sheetData>
    <row r="1" spans="1:12" ht="24" customHeight="1">
      <c r="A1" s="278" t="s">
        <v>296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</row>
    <row r="2" spans="1:12" ht="24" customHeight="1">
      <c r="A2" s="254" t="str">
        <f>'Overall UKG'!A2:B2</f>
        <v>Date :</v>
      </c>
      <c r="B2" s="283">
        <f ca="1">'Overall UKG'!B2</f>
        <v>45161</v>
      </c>
      <c r="C2" s="283"/>
      <c r="D2" s="283"/>
      <c r="E2" s="283"/>
      <c r="F2" s="283"/>
      <c r="G2" s="283"/>
      <c r="H2" s="283"/>
      <c r="I2" s="283"/>
      <c r="J2" s="283"/>
      <c r="K2" s="283"/>
      <c r="L2" s="283"/>
    </row>
    <row r="3" spans="1:12" ht="24" customHeight="1">
      <c r="A3" s="280" t="s">
        <v>250</v>
      </c>
      <c r="B3" s="281"/>
      <c r="C3" s="281"/>
      <c r="D3" s="281"/>
      <c r="E3" s="281"/>
      <c r="F3" s="281"/>
      <c r="G3" s="281"/>
      <c r="H3" s="281"/>
      <c r="I3" s="281"/>
      <c r="J3" s="281"/>
      <c r="K3" s="281"/>
      <c r="L3" s="282"/>
    </row>
    <row r="4" spans="1:12" ht="24" customHeight="1">
      <c r="A4" s="255" t="s">
        <v>241</v>
      </c>
      <c r="B4" s="243" t="s">
        <v>252</v>
      </c>
      <c r="C4" s="255" t="s">
        <v>242</v>
      </c>
      <c r="D4" s="255" t="s">
        <v>94</v>
      </c>
      <c r="E4" s="255" t="s">
        <v>272</v>
      </c>
      <c r="F4" s="255" t="s">
        <v>48</v>
      </c>
      <c r="G4" s="243" t="s">
        <v>107</v>
      </c>
      <c r="H4" s="256" t="s">
        <v>239</v>
      </c>
      <c r="I4" s="257" t="s">
        <v>304</v>
      </c>
      <c r="J4" s="255" t="s">
        <v>240</v>
      </c>
      <c r="K4" s="243" t="s">
        <v>251</v>
      </c>
      <c r="L4" s="243" t="s">
        <v>255</v>
      </c>
    </row>
    <row r="5" spans="1:12" ht="24" customHeight="1">
      <c r="A5" s="255">
        <v>1</v>
      </c>
      <c r="B5" s="243">
        <v>1</v>
      </c>
      <c r="C5" s="255">
        <v>960</v>
      </c>
      <c r="D5" s="253">
        <v>58</v>
      </c>
      <c r="E5" s="243">
        <v>17600</v>
      </c>
      <c r="F5" s="253">
        <v>24.38</v>
      </c>
      <c r="G5" s="244">
        <v>96</v>
      </c>
      <c r="H5" s="258">
        <f>(7.2*E5*(G5/100))/(D5*F5)</f>
        <v>86.030946790755564</v>
      </c>
      <c r="I5" s="258">
        <f>H5*C5*3/1000</f>
        <v>247.76912675737603</v>
      </c>
      <c r="J5" s="259">
        <f>'Spin MF'!I9</f>
        <v>0.72100000000000009</v>
      </c>
      <c r="K5" s="244">
        <v>7.5</v>
      </c>
      <c r="L5" s="244">
        <v>1.5</v>
      </c>
    </row>
    <row r="6" spans="1:12" ht="24" customHeight="1">
      <c r="A6" s="255">
        <v>2</v>
      </c>
      <c r="B6" s="243">
        <v>1</v>
      </c>
      <c r="C6" s="255">
        <v>960</v>
      </c>
      <c r="D6" s="253">
        <v>58</v>
      </c>
      <c r="E6" s="243">
        <v>17600</v>
      </c>
      <c r="F6" s="253">
        <v>24.38</v>
      </c>
      <c r="G6" s="244">
        <v>96</v>
      </c>
      <c r="H6" s="258">
        <f t="shared" ref="H6:H16" si="0">(7.2*E6*(G6/100))/(D6*F6)</f>
        <v>86.030946790755564</v>
      </c>
      <c r="I6" s="258">
        <f t="shared" ref="I6:I15" si="1">H6*C6*3/1000</f>
        <v>247.76912675737603</v>
      </c>
      <c r="J6" s="259">
        <f>'Spin MF'!I10</f>
        <v>0.72100000000000009</v>
      </c>
      <c r="K6" s="244">
        <v>7.5</v>
      </c>
      <c r="L6" s="244">
        <v>1.5</v>
      </c>
    </row>
    <row r="7" spans="1:12" ht="24" customHeight="1">
      <c r="A7" s="255">
        <v>3</v>
      </c>
      <c r="B7" s="243">
        <v>1</v>
      </c>
      <c r="C7" s="255">
        <v>960</v>
      </c>
      <c r="D7" s="253">
        <v>58</v>
      </c>
      <c r="E7" s="243">
        <v>17600</v>
      </c>
      <c r="F7" s="253">
        <v>24.38</v>
      </c>
      <c r="G7" s="244">
        <v>96</v>
      </c>
      <c r="H7" s="258">
        <f t="shared" si="0"/>
        <v>86.030946790755564</v>
      </c>
      <c r="I7" s="258">
        <f t="shared" si="1"/>
        <v>247.76912675737603</v>
      </c>
      <c r="J7" s="259">
        <f>'Spin MF'!I11</f>
        <v>0.72100000000000009</v>
      </c>
      <c r="K7" s="244">
        <v>7.5</v>
      </c>
      <c r="L7" s="244">
        <v>1.5</v>
      </c>
    </row>
    <row r="8" spans="1:12" ht="24" customHeight="1">
      <c r="A8" s="255">
        <v>4</v>
      </c>
      <c r="B8" s="243">
        <v>1</v>
      </c>
      <c r="C8" s="255">
        <v>960</v>
      </c>
      <c r="D8" s="253">
        <v>58</v>
      </c>
      <c r="E8" s="243">
        <v>17600</v>
      </c>
      <c r="F8" s="253">
        <v>24.38</v>
      </c>
      <c r="G8" s="244">
        <v>96</v>
      </c>
      <c r="H8" s="258">
        <f t="shared" si="0"/>
        <v>86.030946790755564</v>
      </c>
      <c r="I8" s="258">
        <f t="shared" si="1"/>
        <v>247.76912675737603</v>
      </c>
      <c r="J8" s="259">
        <f>'Spin MF'!I12</f>
        <v>0.72100000000000009</v>
      </c>
      <c r="K8" s="244">
        <v>7.5</v>
      </c>
      <c r="L8" s="244">
        <v>1.5</v>
      </c>
    </row>
    <row r="9" spans="1:12" ht="24" customHeight="1">
      <c r="A9" s="255">
        <v>5</v>
      </c>
      <c r="B9" s="243">
        <v>1</v>
      </c>
      <c r="C9" s="255">
        <v>960</v>
      </c>
      <c r="D9" s="253">
        <v>58</v>
      </c>
      <c r="E9" s="243">
        <v>17600</v>
      </c>
      <c r="F9" s="253">
        <v>24.38</v>
      </c>
      <c r="G9" s="244">
        <v>96</v>
      </c>
      <c r="H9" s="258">
        <f t="shared" si="0"/>
        <v>86.030946790755564</v>
      </c>
      <c r="I9" s="258">
        <f t="shared" si="1"/>
        <v>247.76912675737603</v>
      </c>
      <c r="J9" s="259">
        <f>'Spin MF'!I13</f>
        <v>0.72100000000000009</v>
      </c>
      <c r="K9" s="244">
        <v>7.5</v>
      </c>
      <c r="L9" s="244">
        <v>1.5</v>
      </c>
    </row>
    <row r="10" spans="1:12" ht="24" customHeight="1">
      <c r="A10" s="255">
        <v>6</v>
      </c>
      <c r="B10" s="243">
        <v>1</v>
      </c>
      <c r="C10" s="255">
        <v>960</v>
      </c>
      <c r="D10" s="253">
        <v>58</v>
      </c>
      <c r="E10" s="243">
        <v>17600</v>
      </c>
      <c r="F10" s="253">
        <v>24.38</v>
      </c>
      <c r="G10" s="244">
        <v>96</v>
      </c>
      <c r="H10" s="258">
        <f t="shared" si="0"/>
        <v>86.030946790755564</v>
      </c>
      <c r="I10" s="258">
        <f t="shared" si="1"/>
        <v>247.76912675737603</v>
      </c>
      <c r="J10" s="259">
        <f>'Spin MF'!I14</f>
        <v>0.72100000000000009</v>
      </c>
      <c r="K10" s="244">
        <v>7.5</v>
      </c>
      <c r="L10" s="244">
        <v>1.5</v>
      </c>
    </row>
    <row r="11" spans="1:12" ht="24" customHeight="1">
      <c r="A11" s="255">
        <v>7</v>
      </c>
      <c r="B11" s="243">
        <v>1</v>
      </c>
      <c r="C11" s="255">
        <v>960</v>
      </c>
      <c r="D11" s="253">
        <v>58</v>
      </c>
      <c r="E11" s="243">
        <v>17600</v>
      </c>
      <c r="F11" s="253">
        <v>24.38</v>
      </c>
      <c r="G11" s="244">
        <v>96</v>
      </c>
      <c r="H11" s="258">
        <f t="shared" si="0"/>
        <v>86.030946790755564</v>
      </c>
      <c r="I11" s="258">
        <f t="shared" si="1"/>
        <v>247.76912675737603</v>
      </c>
      <c r="J11" s="259">
        <f>'Spin MF'!I15</f>
        <v>0.72100000000000009</v>
      </c>
      <c r="K11" s="244">
        <v>7.5</v>
      </c>
      <c r="L11" s="244">
        <v>1.5</v>
      </c>
    </row>
    <row r="12" spans="1:12" ht="24" customHeight="1">
      <c r="A12" s="255">
        <v>8</v>
      </c>
      <c r="B12" s="243">
        <v>1</v>
      </c>
      <c r="C12" s="255">
        <v>960</v>
      </c>
      <c r="D12" s="253">
        <v>58</v>
      </c>
      <c r="E12" s="243">
        <v>17600</v>
      </c>
      <c r="F12" s="253">
        <v>24.38</v>
      </c>
      <c r="G12" s="244">
        <v>96</v>
      </c>
      <c r="H12" s="258">
        <f t="shared" si="0"/>
        <v>86.030946790755564</v>
      </c>
      <c r="I12" s="258">
        <f t="shared" si="1"/>
        <v>247.76912675737603</v>
      </c>
      <c r="J12" s="259">
        <f>'Spin MF'!I16</f>
        <v>0.72100000000000009</v>
      </c>
      <c r="K12" s="244">
        <v>7.5</v>
      </c>
      <c r="L12" s="244">
        <v>1.5</v>
      </c>
    </row>
    <row r="13" spans="1:12" ht="24" customHeight="1">
      <c r="A13" s="255">
        <v>9</v>
      </c>
      <c r="B13" s="243">
        <v>1</v>
      </c>
      <c r="C13" s="255">
        <v>960</v>
      </c>
      <c r="D13" s="253">
        <v>58</v>
      </c>
      <c r="E13" s="243">
        <v>17600</v>
      </c>
      <c r="F13" s="253">
        <v>24.38</v>
      </c>
      <c r="G13" s="244">
        <v>96</v>
      </c>
      <c r="H13" s="258">
        <f t="shared" si="0"/>
        <v>86.030946790755564</v>
      </c>
      <c r="I13" s="258">
        <f t="shared" si="1"/>
        <v>247.76912675737603</v>
      </c>
      <c r="J13" s="259">
        <f>'Spin MF'!I17</f>
        <v>0.72100000000000009</v>
      </c>
      <c r="K13" s="244">
        <v>7.5</v>
      </c>
      <c r="L13" s="244">
        <v>1.5</v>
      </c>
    </row>
    <row r="14" spans="1:12" ht="24" customHeight="1">
      <c r="A14" s="255">
        <v>10</v>
      </c>
      <c r="B14" s="243">
        <v>1</v>
      </c>
      <c r="C14" s="255">
        <v>960</v>
      </c>
      <c r="D14" s="253">
        <v>58</v>
      </c>
      <c r="E14" s="243">
        <v>17600</v>
      </c>
      <c r="F14" s="253">
        <v>24.38</v>
      </c>
      <c r="G14" s="244">
        <v>96</v>
      </c>
      <c r="H14" s="258">
        <f t="shared" si="0"/>
        <v>86.030946790755564</v>
      </c>
      <c r="I14" s="258">
        <f t="shared" si="1"/>
        <v>247.76912675737603</v>
      </c>
      <c r="J14" s="259">
        <f>'Spin MF'!I18</f>
        <v>0.72100000000000009</v>
      </c>
      <c r="K14" s="244">
        <v>7.5</v>
      </c>
      <c r="L14" s="244">
        <v>1.5</v>
      </c>
    </row>
    <row r="15" spans="1:12" ht="24" customHeight="1">
      <c r="A15" s="255">
        <v>11</v>
      </c>
      <c r="B15" s="243">
        <v>1</v>
      </c>
      <c r="C15" s="255">
        <v>960</v>
      </c>
      <c r="D15" s="253">
        <v>58</v>
      </c>
      <c r="E15" s="243">
        <v>17600</v>
      </c>
      <c r="F15" s="253">
        <v>24.38</v>
      </c>
      <c r="G15" s="244">
        <v>96</v>
      </c>
      <c r="H15" s="258">
        <f t="shared" si="0"/>
        <v>86.030946790755564</v>
      </c>
      <c r="I15" s="258">
        <f t="shared" si="1"/>
        <v>247.76912675737603</v>
      </c>
      <c r="J15" s="259">
        <f>'Spin MF'!I19</f>
        <v>0.72100000000000009</v>
      </c>
      <c r="K15" s="244">
        <v>7.5</v>
      </c>
      <c r="L15" s="244">
        <v>1.5</v>
      </c>
    </row>
    <row r="16" spans="1:12" ht="24" customHeight="1">
      <c r="A16" s="182" t="s">
        <v>248</v>
      </c>
      <c r="B16" s="183">
        <f>SUM(B5:B15)</f>
        <v>11</v>
      </c>
      <c r="C16" s="184">
        <f>(($B5*C5)+($B6*C6)+($B7*C7)+($B8*C8)+($B9*C9)+($B10*C10)+($B11*C11)+($B12*C12)+($B13*C13)+($B14*C14)+($B15*C15))/($B16)</f>
        <v>960</v>
      </c>
      <c r="D16" s="184">
        <f>(($B5*D5)+($B6*D6)+($B7*D7)+($B8*D8)+($B9*D9)+($B10*D10)+($B11*D11)+($B12*D12)+($B13*D13)+($B14*D14)+($B15*D15))/($B16)</f>
        <v>58</v>
      </c>
      <c r="E16" s="184">
        <f>(($B5*E5)+($B6*E6)+($B7*E7)+($B8*E8)+($B9*E9)+($B10*E10)+($B11*E11)+($B12*E12)+($B13*E13)+($B14*E14)+($B15*E15))/($B16)</f>
        <v>17600</v>
      </c>
      <c r="F16" s="184">
        <f>(($B5*F5)+($B6*F6)+($B7*F7)+($B8*F8)+($B9*F9)+($B10*F10)+($B11*F11)+($B12*F12)+($B13*F13)+($B14*F14)+($B15*F15))/($B16)</f>
        <v>24.38</v>
      </c>
      <c r="G16" s="184">
        <f>(($B5*G5)+($B6*G6)+($B7*G7)+($B8*G8)+($B9*G9)+($B10*G10)+($B11*G11)+($B12*G12)+($B13*G13)+($B14*G14)+($B15*G15))/($B16)</f>
        <v>96</v>
      </c>
      <c r="H16" s="186">
        <f t="shared" si="0"/>
        <v>86.030946790755564</v>
      </c>
      <c r="I16" s="185">
        <f>SUM(I5:I15)</f>
        <v>2725.4603943311358</v>
      </c>
      <c r="J16" s="184">
        <f>(($B5*J5)+($B6*J6)+($B7*J7)+($B8*J8)+($B9*J9)+($B10*J10)+($B11*J11)+($B12*J12)+($B13*J13)+($B14*J14)+($B15*J15))/($B16)</f>
        <v>0.72100000000000009</v>
      </c>
      <c r="K16" s="184">
        <f>(($B5*K5)+($B6*K6)+($B7*K7)+($B8*K8)+($B9*K9)+($B10*K10)+($B11*K11)+($B12*K12)+($B13*K13)+($B14*K14)+($B15*K15))/($B16)</f>
        <v>7.5</v>
      </c>
      <c r="L16" s="184">
        <f>(($B5*L5)+($B6*L6)+($B7*L7)+($B8*L8)+($B9*L9)+($B10*L10)+($B11*L11)+($B12*L12)+($B13*L13)+($B14*L14)+($B15*L15))/($B16)</f>
        <v>1.5</v>
      </c>
    </row>
    <row r="17" spans="1:12" ht="24" customHeight="1">
      <c r="A17" s="160"/>
      <c r="B17" s="160"/>
      <c r="C17" s="160"/>
      <c r="D17" s="160"/>
      <c r="E17" s="160"/>
      <c r="F17" s="174"/>
      <c r="G17" s="178"/>
      <c r="H17" s="160"/>
      <c r="I17" s="160"/>
      <c r="J17" s="160"/>
      <c r="K17" s="160"/>
      <c r="L17" s="161"/>
    </row>
    <row r="18" spans="1:12" ht="24" customHeight="1">
      <c r="B18" s="9"/>
      <c r="C18" s="9"/>
      <c r="D18" s="9"/>
    </row>
    <row r="19" spans="1:12" ht="24" customHeight="1">
      <c r="B19" s="9"/>
      <c r="C19" s="9"/>
      <c r="D19" s="9"/>
    </row>
    <row r="20" spans="1:12" ht="24" customHeight="1"/>
  </sheetData>
  <mergeCells count="3">
    <mergeCell ref="A3:L3"/>
    <mergeCell ref="A1:L1"/>
    <mergeCell ref="B2:L2"/>
  </mergeCells>
  <pageMargins left="0.25" right="0" top="0" bottom="0" header="0" footer="0"/>
  <pageSetup paperSize="5" scale="9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G6"/>
  <sheetViews>
    <sheetView workbookViewId="0">
      <selection activeCell="H16" sqref="H16"/>
    </sheetView>
  </sheetViews>
  <sheetFormatPr defaultRowHeight="12.75"/>
  <cols>
    <col min="1" max="1" width="11.140625" customWidth="1"/>
    <col min="2" max="7" width="15.7109375" customWidth="1"/>
  </cols>
  <sheetData>
    <row r="1" spans="1:7" ht="24" customHeight="1">
      <c r="A1" s="284" t="s">
        <v>299</v>
      </c>
      <c r="B1" s="285"/>
      <c r="C1" s="285"/>
      <c r="D1" s="285"/>
      <c r="E1" s="285"/>
      <c r="F1" s="285"/>
      <c r="G1" s="286"/>
    </row>
    <row r="2" spans="1:7" ht="24" customHeight="1">
      <c r="A2" s="201" t="s">
        <v>257</v>
      </c>
      <c r="B2" s="228" t="s">
        <v>258</v>
      </c>
      <c r="C2" s="202" t="s">
        <v>256</v>
      </c>
      <c r="D2" s="202" t="s">
        <v>94</v>
      </c>
      <c r="E2" s="202" t="s">
        <v>220</v>
      </c>
      <c r="F2" s="204" t="s">
        <v>33</v>
      </c>
      <c r="G2" s="204" t="s">
        <v>255</v>
      </c>
    </row>
    <row r="3" spans="1:7" ht="24" customHeight="1">
      <c r="A3" s="268">
        <v>1</v>
      </c>
      <c r="B3" s="230">
        <v>1</v>
      </c>
      <c r="C3" s="263">
        <v>72</v>
      </c>
      <c r="D3" s="207">
        <v>58</v>
      </c>
      <c r="E3" s="264">
        <v>1650</v>
      </c>
      <c r="F3" s="207">
        <v>30</v>
      </c>
      <c r="G3" s="207">
        <v>2</v>
      </c>
    </row>
    <row r="4" spans="1:7" ht="24" customHeight="1">
      <c r="A4" s="268">
        <v>2</v>
      </c>
      <c r="B4" s="230">
        <v>1</v>
      </c>
      <c r="C4" s="263">
        <v>72</v>
      </c>
      <c r="D4" s="207">
        <v>58</v>
      </c>
      <c r="E4" s="264">
        <v>1650</v>
      </c>
      <c r="F4" s="207">
        <v>30</v>
      </c>
      <c r="G4" s="207">
        <v>2</v>
      </c>
    </row>
    <row r="5" spans="1:7" ht="24" customHeight="1">
      <c r="A5" s="265" t="s">
        <v>248</v>
      </c>
      <c r="B5" s="266">
        <f>SUM(B3:B4)</f>
        <v>2</v>
      </c>
      <c r="C5" s="267">
        <f>(($B3*C3)+($B4*C4))/($B5)</f>
        <v>72</v>
      </c>
      <c r="D5" s="267">
        <f t="shared" ref="D5:G5" si="0">(($B3*D3)+($B4*D4))/($B5)</f>
        <v>58</v>
      </c>
      <c r="E5" s="267">
        <f t="shared" si="0"/>
        <v>1650</v>
      </c>
      <c r="F5" s="267">
        <f t="shared" si="0"/>
        <v>30</v>
      </c>
      <c r="G5" s="267">
        <f t="shared" si="0"/>
        <v>2</v>
      </c>
    </row>
    <row r="6" spans="1:7" ht="15">
      <c r="A6" s="161"/>
      <c r="B6" s="161"/>
      <c r="C6" s="161"/>
      <c r="D6" s="172"/>
      <c r="E6" s="172"/>
      <c r="F6" s="173"/>
      <c r="G6" s="161"/>
    </row>
  </sheetData>
  <mergeCells count="1">
    <mergeCell ref="A1:G1"/>
  </mergeCells>
  <pageMargins left="0.7" right="0.7" top="0.75" bottom="0.75" header="0.3" footer="0.3"/>
  <pageSetup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19"/>
  <sheetViews>
    <sheetView tabSelected="1" zoomScaleSheetLayoutView="100" workbookViewId="0">
      <selection activeCell="A17" sqref="A17:D17"/>
    </sheetView>
  </sheetViews>
  <sheetFormatPr defaultColWidth="9.140625" defaultRowHeight="15"/>
  <cols>
    <col min="1" max="1" width="10.5703125" style="160" customWidth="1"/>
    <col min="2" max="2" width="10.42578125" style="160" customWidth="1"/>
    <col min="3" max="3" width="9.140625" style="160" customWidth="1"/>
    <col min="4" max="4" width="10.28515625" style="160" customWidth="1"/>
    <col min="5" max="5" width="8.85546875" style="160" customWidth="1"/>
    <col min="6" max="6" width="7.5703125" style="160" customWidth="1"/>
    <col min="7" max="7" width="9.140625" style="160" customWidth="1"/>
    <col min="8" max="8" width="9.7109375" style="160" customWidth="1"/>
    <col min="9" max="9" width="9.140625" style="160" customWidth="1"/>
    <col min="10" max="10" width="11" style="160" customWidth="1"/>
    <col min="11" max="12" width="10.28515625" style="160" customWidth="1"/>
    <col min="13" max="13" width="10.42578125" style="160" customWidth="1"/>
    <col min="14" max="14" width="9" style="160" customWidth="1"/>
    <col min="15" max="15" width="9.42578125" style="160" customWidth="1"/>
    <col min="16" max="16" width="9.140625" style="160" customWidth="1"/>
    <col min="17" max="17" width="10.7109375" style="160" customWidth="1"/>
    <col min="18" max="18" width="11.85546875" style="160" customWidth="1"/>
    <col min="19" max="19" width="11.7109375" style="160" customWidth="1"/>
    <col min="20" max="16384" width="9.140625" style="160"/>
  </cols>
  <sheetData>
    <row r="1" spans="1:32" ht="24" customHeight="1">
      <c r="A1" s="278" t="s">
        <v>306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8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</row>
    <row r="2" spans="1:32" ht="18.95" customHeight="1">
      <c r="A2" s="187" t="s">
        <v>274</v>
      </c>
      <c r="B2" s="188">
        <f ca="1">TODAY()</f>
        <v>45161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  <c r="AF2" s="161"/>
    </row>
    <row r="3" spans="1:32" ht="18.95" customHeight="1">
      <c r="A3" s="190" t="s">
        <v>252</v>
      </c>
      <c r="B3" s="191">
        <f>'Spin Datas'!B16</f>
        <v>11</v>
      </c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</row>
    <row r="4" spans="1:32" ht="18.95" customHeight="1">
      <c r="A4" s="190" t="s">
        <v>286</v>
      </c>
      <c r="B4" s="192">
        <f>J21*B3</f>
        <v>2657.3238844728576</v>
      </c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0"/>
      <c r="O4" s="190"/>
      <c r="P4" s="190"/>
      <c r="Q4" s="190"/>
      <c r="R4" s="190"/>
      <c r="S4" s="161"/>
      <c r="T4" s="161"/>
      <c r="U4" s="161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</row>
    <row r="5" spans="1:32" ht="18.95" customHeight="1">
      <c r="A5" s="193"/>
      <c r="B5" s="193"/>
      <c r="C5" s="193"/>
      <c r="D5" s="193"/>
      <c r="E5" s="193"/>
      <c r="F5" s="193"/>
      <c r="G5" s="193"/>
      <c r="H5" s="193"/>
      <c r="I5" s="193"/>
      <c r="J5" s="193"/>
      <c r="K5" s="193"/>
      <c r="L5" s="193"/>
      <c r="M5" s="193"/>
      <c r="N5" s="193"/>
      <c r="O5" s="193"/>
      <c r="P5" s="193"/>
      <c r="Q5" s="193"/>
      <c r="R5" s="193"/>
      <c r="S5" s="161"/>
      <c r="T5" s="161"/>
      <c r="U5" s="161"/>
      <c r="V5" s="161"/>
      <c r="W5" s="161"/>
      <c r="X5" s="161"/>
      <c r="Y5" s="161"/>
      <c r="Z5" s="161"/>
      <c r="AA5" s="161"/>
      <c r="AB5" s="161"/>
      <c r="AC5" s="161"/>
      <c r="AD5" s="161"/>
      <c r="AE5" s="161"/>
      <c r="AF5" s="161"/>
    </row>
    <row r="6" spans="1:32" ht="18.95" customHeight="1">
      <c r="A6" s="287" t="s">
        <v>243</v>
      </c>
      <c r="B6" s="288"/>
      <c r="C6" s="288"/>
      <c r="D6" s="288"/>
      <c r="E6" s="288"/>
      <c r="F6" s="288"/>
      <c r="G6" s="288"/>
      <c r="H6" s="289"/>
      <c r="I6" s="290" t="s">
        <v>285</v>
      </c>
      <c r="J6" s="291"/>
      <c r="K6" s="292"/>
      <c r="L6" s="290" t="s">
        <v>244</v>
      </c>
      <c r="M6" s="291"/>
      <c r="N6" s="291"/>
      <c r="O6" s="291"/>
      <c r="P6" s="291"/>
      <c r="Q6" s="291"/>
      <c r="R6" s="292"/>
      <c r="S6" s="161"/>
      <c r="T6" s="161"/>
      <c r="U6" s="161"/>
      <c r="V6" s="161"/>
      <c r="W6" s="161"/>
      <c r="X6" s="161"/>
      <c r="Y6" s="161"/>
      <c r="Z6" s="161"/>
      <c r="AA6" s="161"/>
      <c r="AB6" s="161"/>
      <c r="AC6" s="161"/>
      <c r="AD6" s="161"/>
      <c r="AE6" s="161"/>
      <c r="AF6" s="161"/>
    </row>
    <row r="7" spans="1:32" ht="18.95" customHeight="1">
      <c r="A7" s="287" t="s">
        <v>244</v>
      </c>
      <c r="B7" s="288"/>
      <c r="C7" s="288"/>
      <c r="D7" s="288"/>
      <c r="E7" s="288"/>
      <c r="F7" s="288"/>
      <c r="G7" s="288"/>
      <c r="H7" s="289"/>
      <c r="I7" s="293">
        <v>15</v>
      </c>
      <c r="J7" s="291"/>
      <c r="K7" s="292"/>
      <c r="L7" s="294">
        <f>100-(C7+I7)</f>
        <v>85</v>
      </c>
      <c r="M7" s="295"/>
      <c r="N7" s="295"/>
      <c r="O7" s="295"/>
      <c r="P7" s="295"/>
      <c r="Q7" s="295"/>
      <c r="R7" s="296"/>
      <c r="S7" s="161"/>
      <c r="T7" s="161"/>
      <c r="U7" s="161"/>
      <c r="V7" s="161"/>
      <c r="W7" s="161"/>
      <c r="X7" s="161"/>
      <c r="Y7" s="161"/>
      <c r="Z7" s="161"/>
      <c r="AA7" s="161"/>
      <c r="AB7" s="161"/>
      <c r="AC7" s="161"/>
      <c r="AD7" s="161"/>
      <c r="AE7" s="161"/>
      <c r="AF7" s="161"/>
    </row>
    <row r="8" spans="1:32" ht="18" customHeight="1">
      <c r="A8" s="287" t="s">
        <v>271</v>
      </c>
      <c r="B8" s="288"/>
      <c r="C8" s="288"/>
      <c r="D8" s="288"/>
      <c r="E8" s="288"/>
      <c r="F8" s="288"/>
      <c r="G8" s="288"/>
      <c r="H8" s="289"/>
      <c r="I8" s="194" t="s">
        <v>2</v>
      </c>
      <c r="J8" s="194" t="s">
        <v>3</v>
      </c>
      <c r="K8" s="194" t="s">
        <v>4</v>
      </c>
      <c r="L8" s="194" t="s">
        <v>2</v>
      </c>
      <c r="M8" s="194" t="s">
        <v>3</v>
      </c>
      <c r="N8" s="194" t="s">
        <v>4</v>
      </c>
      <c r="O8" s="194" t="s">
        <v>5</v>
      </c>
      <c r="P8" s="194" t="s">
        <v>6</v>
      </c>
      <c r="Q8" s="194" t="s">
        <v>144</v>
      </c>
      <c r="R8" s="194" t="s">
        <v>299</v>
      </c>
      <c r="U8" s="161"/>
      <c r="V8" s="161"/>
      <c r="W8" s="161"/>
      <c r="X8" s="161"/>
      <c r="Y8" s="161"/>
      <c r="Z8" s="161"/>
      <c r="AA8" s="161"/>
      <c r="AB8" s="161"/>
      <c r="AC8" s="161"/>
      <c r="AD8" s="161"/>
      <c r="AE8" s="161"/>
      <c r="AF8" s="161"/>
    </row>
    <row r="9" spans="1:32" ht="18.95" customHeight="1">
      <c r="A9" s="287" t="s">
        <v>246</v>
      </c>
      <c r="B9" s="288"/>
      <c r="C9" s="288"/>
      <c r="D9" s="288"/>
      <c r="E9" s="288"/>
      <c r="F9" s="288"/>
      <c r="G9" s="288"/>
      <c r="H9" s="289"/>
      <c r="I9" s="195" t="s">
        <v>237</v>
      </c>
      <c r="J9" s="196">
        <v>0.25</v>
      </c>
      <c r="K9" s="196">
        <v>0.25</v>
      </c>
      <c r="L9" s="195" t="s">
        <v>237</v>
      </c>
      <c r="M9" s="196">
        <v>0.5</v>
      </c>
      <c r="N9" s="196">
        <v>2.5</v>
      </c>
      <c r="O9" s="196">
        <v>0.25</v>
      </c>
      <c r="P9" s="196">
        <v>0.25</v>
      </c>
      <c r="Q9" s="196">
        <v>2.5</v>
      </c>
      <c r="R9" s="196">
        <v>0.4</v>
      </c>
      <c r="S9" s="180"/>
      <c r="U9" s="161"/>
      <c r="V9" s="161"/>
      <c r="W9" s="161"/>
      <c r="X9" s="161"/>
      <c r="Y9" s="161"/>
      <c r="Z9" s="161"/>
      <c r="AA9" s="161"/>
      <c r="AB9" s="161"/>
      <c r="AC9" s="161"/>
      <c r="AD9" s="161"/>
      <c r="AE9" s="161"/>
      <c r="AF9" s="161"/>
    </row>
    <row r="10" spans="1:32" ht="18.95" customHeight="1">
      <c r="A10" s="287" t="s">
        <v>294</v>
      </c>
      <c r="B10" s="288"/>
      <c r="C10" s="288"/>
      <c r="D10" s="288"/>
      <c r="E10" s="288"/>
      <c r="F10" s="288"/>
      <c r="G10" s="288"/>
      <c r="H10" s="289"/>
      <c r="I10" s="196">
        <v>100</v>
      </c>
      <c r="J10" s="197">
        <f>I10-J9</f>
        <v>99.75</v>
      </c>
      <c r="K10" s="197">
        <f>J10-(J10*(K9/100))</f>
        <v>99.500624999999999</v>
      </c>
      <c r="L10" s="196">
        <v>100</v>
      </c>
      <c r="M10" s="197">
        <f>L10-M9</f>
        <v>99.5</v>
      </c>
      <c r="N10" s="197">
        <f>M10-(M10*(N9/100))</f>
        <v>97.012500000000003</v>
      </c>
      <c r="O10" s="197">
        <f>N10-(N10*(O9/100))</f>
        <v>96.769968750000004</v>
      </c>
      <c r="P10" s="197">
        <f>O10-(O10*(P9/100))</f>
        <v>96.528043828125007</v>
      </c>
      <c r="Q10" s="197">
        <f>P10-(P10*(Q9/100))</f>
        <v>94.114842732421877</v>
      </c>
      <c r="R10" s="197">
        <f>Q10-(Q10*(R9/100))</f>
        <v>93.738383361492197</v>
      </c>
      <c r="S10" s="180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</row>
    <row r="11" spans="1:32" ht="18.95" customHeight="1">
      <c r="A11" s="287" t="s">
        <v>219</v>
      </c>
      <c r="B11" s="288"/>
      <c r="C11" s="288"/>
      <c r="D11" s="288"/>
      <c r="E11" s="288"/>
      <c r="F11" s="288"/>
      <c r="G11" s="288"/>
      <c r="H11" s="289"/>
      <c r="I11" s="198">
        <f>I10/$K$10</f>
        <v>1.0050188126959001</v>
      </c>
      <c r="J11" s="198">
        <f>J10/$K$10</f>
        <v>1.0025062656641603</v>
      </c>
      <c r="K11" s="198">
        <f>K10/$K$10</f>
        <v>1</v>
      </c>
      <c r="L11" s="198">
        <f t="shared" ref="L11:R11" si="0">L10/$R$10</f>
        <v>1.0667988545776443</v>
      </c>
      <c r="M11" s="198">
        <f t="shared" si="0"/>
        <v>1.0614648603047563</v>
      </c>
      <c r="N11" s="198">
        <f t="shared" si="0"/>
        <v>1.0349282387971372</v>
      </c>
      <c r="O11" s="198">
        <f t="shared" si="0"/>
        <v>1.0323409182001446</v>
      </c>
      <c r="P11" s="198">
        <f t="shared" si="0"/>
        <v>1.0297600659046442</v>
      </c>
      <c r="Q11" s="198">
        <f t="shared" si="0"/>
        <v>1.0040160642570279</v>
      </c>
      <c r="R11" s="198">
        <f t="shared" si="0"/>
        <v>1</v>
      </c>
      <c r="U11" s="161"/>
      <c r="V11" s="161"/>
      <c r="W11" s="161"/>
      <c r="X11" s="161"/>
      <c r="Y11" s="161"/>
      <c r="Z11" s="161"/>
      <c r="AA11" s="161"/>
      <c r="AB11" s="161"/>
      <c r="AC11" s="161"/>
      <c r="AD11" s="161"/>
      <c r="AE11" s="161"/>
      <c r="AF11" s="161"/>
    </row>
    <row r="12" spans="1:32" ht="18.95" customHeight="1">
      <c r="A12" s="321"/>
      <c r="B12" s="321"/>
      <c r="C12" s="321"/>
      <c r="D12" s="321"/>
      <c r="E12" s="321"/>
      <c r="F12" s="321"/>
      <c r="G12" s="321"/>
      <c r="H12" s="321"/>
      <c r="I12" s="322"/>
      <c r="J12" s="322"/>
      <c r="K12" s="322"/>
      <c r="L12" s="322"/>
      <c r="M12" s="322"/>
      <c r="N12" s="322"/>
      <c r="O12" s="322"/>
      <c r="P12" s="322"/>
      <c r="Q12" s="322"/>
      <c r="R12" s="322"/>
      <c r="S12" s="161"/>
      <c r="T12" s="161"/>
      <c r="U12" s="161"/>
      <c r="V12" s="161"/>
      <c r="W12" s="161"/>
      <c r="X12" s="161"/>
      <c r="Y12" s="161"/>
      <c r="Z12" s="161"/>
      <c r="AA12" s="161"/>
      <c r="AB12" s="161"/>
      <c r="AC12" s="161"/>
      <c r="AD12" s="161"/>
      <c r="AE12" s="161"/>
      <c r="AF12" s="161"/>
    </row>
    <row r="13" spans="1:32" ht="18.95" customHeight="1">
      <c r="A13" s="290" t="s">
        <v>243</v>
      </c>
      <c r="B13" s="323"/>
      <c r="C13" s="323"/>
      <c r="D13" s="324"/>
      <c r="E13" s="325" t="s">
        <v>245</v>
      </c>
      <c r="F13" s="325"/>
      <c r="G13" s="325"/>
      <c r="H13" s="325"/>
      <c r="I13" s="325"/>
      <c r="J13" s="325"/>
      <c r="K13" s="325"/>
      <c r="L13" s="325"/>
      <c r="M13" s="290" t="s">
        <v>15</v>
      </c>
      <c r="N13" s="323"/>
      <c r="O13" s="323"/>
      <c r="P13" s="323"/>
      <c r="Q13" s="323"/>
      <c r="R13" s="324"/>
      <c r="V13" s="162"/>
      <c r="W13" s="161"/>
      <c r="X13" s="161"/>
      <c r="Y13" s="161"/>
      <c r="Z13" s="161"/>
      <c r="AA13" s="161"/>
      <c r="AB13" s="161"/>
      <c r="AC13" s="161"/>
      <c r="AD13" s="161"/>
      <c r="AE13" s="161"/>
      <c r="AF13" s="161"/>
    </row>
    <row r="14" spans="1:32" ht="18.95" customHeight="1">
      <c r="A14" s="307" t="s">
        <v>221</v>
      </c>
      <c r="B14" s="311"/>
      <c r="C14" s="311"/>
      <c r="D14" s="312"/>
      <c r="E14" s="315" t="s">
        <v>94</v>
      </c>
      <c r="F14" s="315" t="s">
        <v>220</v>
      </c>
      <c r="G14" s="317" t="s">
        <v>227</v>
      </c>
      <c r="H14" s="317" t="s">
        <v>228</v>
      </c>
      <c r="I14" s="305" t="s">
        <v>229</v>
      </c>
      <c r="J14" s="305" t="s">
        <v>230</v>
      </c>
      <c r="K14" s="199" t="s">
        <v>253</v>
      </c>
      <c r="L14" s="194" t="s">
        <v>231</v>
      </c>
      <c r="M14" s="307" t="s">
        <v>298</v>
      </c>
      <c r="N14" s="194" t="s">
        <v>233</v>
      </c>
      <c r="O14" s="200" t="s">
        <v>234</v>
      </c>
      <c r="P14" s="194" t="s">
        <v>234</v>
      </c>
      <c r="Q14" s="309" t="s">
        <v>15</v>
      </c>
      <c r="R14" s="310"/>
      <c r="S14" s="161"/>
      <c r="T14" s="162"/>
      <c r="U14" s="162"/>
      <c r="V14" s="162"/>
      <c r="W14" s="161"/>
      <c r="X14" s="161"/>
      <c r="Y14" s="161"/>
      <c r="Z14" s="161"/>
      <c r="AA14" s="161"/>
      <c r="AB14" s="161"/>
      <c r="AC14" s="161"/>
      <c r="AD14" s="161"/>
      <c r="AE14" s="161"/>
      <c r="AF14" s="161"/>
    </row>
    <row r="15" spans="1:32" ht="18.95" customHeight="1">
      <c r="A15" s="308"/>
      <c r="B15" s="313"/>
      <c r="C15" s="313"/>
      <c r="D15" s="314"/>
      <c r="E15" s="316"/>
      <c r="F15" s="316"/>
      <c r="G15" s="317"/>
      <c r="H15" s="317"/>
      <c r="I15" s="306"/>
      <c r="J15" s="306"/>
      <c r="K15" s="201" t="s">
        <v>254</v>
      </c>
      <c r="L15" s="202" t="s">
        <v>232</v>
      </c>
      <c r="M15" s="308"/>
      <c r="N15" s="202" t="s">
        <v>227</v>
      </c>
      <c r="O15" s="203" t="s">
        <v>235</v>
      </c>
      <c r="P15" s="202" t="s">
        <v>236</v>
      </c>
      <c r="Q15" s="204" t="s">
        <v>247</v>
      </c>
      <c r="R15" s="204" t="s">
        <v>248</v>
      </c>
      <c r="S15" s="161"/>
      <c r="AA15" s="161"/>
      <c r="AB15" s="161"/>
      <c r="AC15" s="161"/>
      <c r="AD15" s="161"/>
      <c r="AE15" s="161"/>
      <c r="AF15" s="161"/>
    </row>
    <row r="16" spans="1:32" ht="18.95" customHeight="1">
      <c r="A16" s="287" t="s">
        <v>222</v>
      </c>
      <c r="B16" s="288"/>
      <c r="C16" s="288"/>
      <c r="D16" s="289"/>
      <c r="E16" s="205">
        <f>'Prep Datas'!D4</f>
        <v>1.5E-3</v>
      </c>
      <c r="F16" s="206">
        <f>'Prep Datas'!E4</f>
        <v>11</v>
      </c>
      <c r="G16" s="206">
        <f>'Prep Datas'!F4</f>
        <v>90</v>
      </c>
      <c r="H16" s="206">
        <f>F16*60*(G16/100)/(768*E16*2.2045)</f>
        <v>233.89657518711726</v>
      </c>
      <c r="I16" s="207">
        <v>95</v>
      </c>
      <c r="J16" s="208">
        <f>H16*24*(I16/100)</f>
        <v>5332.8419142662733</v>
      </c>
      <c r="K16" s="209">
        <f>'Prep Datas'!C4</f>
        <v>1</v>
      </c>
      <c r="L16" s="210">
        <f>J16*K16</f>
        <v>5332.8419142662733</v>
      </c>
      <c r="M16" s="206">
        <f>'Prep Datas'!G4</f>
        <v>29</v>
      </c>
      <c r="N16" s="206">
        <f>'Prep Datas'!H4</f>
        <v>69</v>
      </c>
      <c r="O16" s="206">
        <f>M16*(N16/100)</f>
        <v>20.009999999999998</v>
      </c>
      <c r="P16" s="206">
        <f>O16*24*(I16/100)</f>
        <v>456.22799999999995</v>
      </c>
      <c r="Q16" s="211">
        <f>(P16*M11/L16)</f>
        <v>9.0808990416838042E-2</v>
      </c>
      <c r="R16" s="318">
        <f>SUM(Q16:Q20)</f>
        <v>1.0254268508722229</v>
      </c>
      <c r="S16" s="162"/>
      <c r="AA16" s="161"/>
      <c r="AB16" s="161"/>
      <c r="AC16" s="161"/>
      <c r="AD16" s="161"/>
      <c r="AE16" s="161"/>
      <c r="AF16" s="161"/>
    </row>
    <row r="17" spans="1:32" ht="18.95" customHeight="1">
      <c r="A17" s="287" t="s">
        <v>223</v>
      </c>
      <c r="B17" s="288"/>
      <c r="C17" s="288"/>
      <c r="D17" s="289"/>
      <c r="E17" s="198">
        <f>'Prep Datas'!D11</f>
        <v>0.15</v>
      </c>
      <c r="F17" s="206">
        <f>'Prep Datas'!E11</f>
        <v>110</v>
      </c>
      <c r="G17" s="206">
        <f>'Prep Datas'!F11</f>
        <v>90</v>
      </c>
      <c r="H17" s="206">
        <f t="shared" ref="H17:H20" si="1">F17*60*(G17/100)/(768*E17*2.2045)</f>
        <v>23.389657518711729</v>
      </c>
      <c r="I17" s="207">
        <v>95</v>
      </c>
      <c r="J17" s="208">
        <f t="shared" ref="J17:J20" si="2">H17*24*(I17/100)</f>
        <v>533.28419142662744</v>
      </c>
      <c r="K17" s="209">
        <f>'Prep Datas'!C11</f>
        <v>1</v>
      </c>
      <c r="L17" s="210">
        <f t="shared" ref="L17:L20" si="3">J17*K17</f>
        <v>533.28419142662744</v>
      </c>
      <c r="M17" s="206">
        <f>'Prep Datas'!G11</f>
        <v>22</v>
      </c>
      <c r="N17" s="206">
        <f>'Prep Datas'!H11</f>
        <v>72</v>
      </c>
      <c r="O17" s="206">
        <f t="shared" ref="O17:O20" si="4">M17*(N17/100)</f>
        <v>15.84</v>
      </c>
      <c r="P17" s="206">
        <f t="shared" ref="P17:P21" si="5">O17*24*(I17/100)</f>
        <v>361.15199999999993</v>
      </c>
      <c r="Q17" s="211">
        <f>(P17*N11/L17)</f>
        <v>0.70087658570597022</v>
      </c>
      <c r="R17" s="319"/>
      <c r="S17" s="162"/>
      <c r="AA17" s="161"/>
      <c r="AB17" s="161"/>
      <c r="AC17" s="161"/>
      <c r="AD17" s="161"/>
      <c r="AE17" s="161"/>
      <c r="AF17" s="161"/>
    </row>
    <row r="18" spans="1:32" ht="18.95" customHeight="1">
      <c r="A18" s="287" t="s">
        <v>224</v>
      </c>
      <c r="B18" s="288"/>
      <c r="C18" s="288"/>
      <c r="D18" s="289"/>
      <c r="E18" s="198">
        <f>'Prep Datas'!D14</f>
        <v>0.155</v>
      </c>
      <c r="F18" s="206">
        <f>'Prep Datas'!E14</f>
        <v>450</v>
      </c>
      <c r="G18" s="206">
        <f>'Prep Datas'!F14</f>
        <v>85</v>
      </c>
      <c r="H18" s="206">
        <f t="shared" si="1"/>
        <v>87.453998053834169</v>
      </c>
      <c r="I18" s="207">
        <v>95</v>
      </c>
      <c r="J18" s="208">
        <f t="shared" si="2"/>
        <v>1993.9511556274188</v>
      </c>
      <c r="K18" s="209">
        <f>'Prep Datas'!C14</f>
        <v>2</v>
      </c>
      <c r="L18" s="210">
        <f t="shared" si="3"/>
        <v>3987.9023112548375</v>
      </c>
      <c r="M18" s="206">
        <f>'Prep Datas'!G14</f>
        <v>9.5</v>
      </c>
      <c r="N18" s="206">
        <f>'Prep Datas'!H14</f>
        <v>44</v>
      </c>
      <c r="O18" s="206">
        <f t="shared" si="4"/>
        <v>4.18</v>
      </c>
      <c r="P18" s="206">
        <f t="shared" si="5"/>
        <v>95.303999999999988</v>
      </c>
      <c r="Q18" s="211">
        <f>(P18*O11/L18)</f>
        <v>2.4671170753224458E-2</v>
      </c>
      <c r="R18" s="319"/>
      <c r="S18" s="162"/>
      <c r="AA18" s="161"/>
      <c r="AB18" s="161"/>
      <c r="AC18" s="161"/>
      <c r="AD18" s="161"/>
      <c r="AE18" s="161"/>
      <c r="AF18" s="161"/>
    </row>
    <row r="19" spans="1:32" ht="18.95" customHeight="1">
      <c r="A19" s="287" t="s">
        <v>225</v>
      </c>
      <c r="B19" s="288"/>
      <c r="C19" s="288"/>
      <c r="D19" s="289"/>
      <c r="E19" s="206">
        <f>'Prep Datas'!D18</f>
        <v>0.16</v>
      </c>
      <c r="F19" s="206">
        <f>'Prep Datas'!E18</f>
        <v>450</v>
      </c>
      <c r="G19" s="206">
        <f>'Prep Datas'!F18</f>
        <v>85</v>
      </c>
      <c r="H19" s="206">
        <f t="shared" si="1"/>
        <v>84.721060614651847</v>
      </c>
      <c r="I19" s="207">
        <v>95</v>
      </c>
      <c r="J19" s="208">
        <f t="shared" si="2"/>
        <v>1931.6401820140622</v>
      </c>
      <c r="K19" s="209">
        <f>'Prep Datas'!C18</f>
        <v>1</v>
      </c>
      <c r="L19" s="210">
        <f t="shared" si="3"/>
        <v>1931.6401820140622</v>
      </c>
      <c r="M19" s="206">
        <f>'Prep Datas'!G18</f>
        <v>9.5</v>
      </c>
      <c r="N19" s="206">
        <f>'Prep Datas'!H18</f>
        <v>44</v>
      </c>
      <c r="O19" s="206">
        <f t="shared" si="4"/>
        <v>4.18</v>
      </c>
      <c r="P19" s="206">
        <f t="shared" si="5"/>
        <v>95.303999999999988</v>
      </c>
      <c r="Q19" s="211">
        <f>(P19*O11/L19)</f>
        <v>5.0934029942140809E-2</v>
      </c>
      <c r="R19" s="319"/>
      <c r="S19" s="162"/>
      <c r="AA19" s="161"/>
      <c r="AB19" s="161"/>
      <c r="AC19" s="161"/>
      <c r="AD19" s="161"/>
      <c r="AE19" s="161"/>
      <c r="AF19" s="161"/>
    </row>
    <row r="20" spans="1:32" ht="18.95" customHeight="1" thickBot="1">
      <c r="A20" s="326" t="s">
        <v>284</v>
      </c>
      <c r="B20" s="327"/>
      <c r="C20" s="327"/>
      <c r="D20" s="328"/>
      <c r="E20" s="212">
        <f>'Prep Datas'!D22</f>
        <v>1.6</v>
      </c>
      <c r="F20" s="212">
        <f>'Prep Datas'!E22</f>
        <v>21.29</v>
      </c>
      <c r="G20" s="212">
        <f>'Prep Datas'!F22</f>
        <v>85</v>
      </c>
      <c r="H20" s="213">
        <f t="shared" si="1"/>
        <v>0.40082475121909722</v>
      </c>
      <c r="I20" s="214">
        <v>95</v>
      </c>
      <c r="J20" s="215">
        <f t="shared" si="2"/>
        <v>9.1388043277954161</v>
      </c>
      <c r="K20" s="216">
        <f>'Prep Datas'!C22</f>
        <v>132</v>
      </c>
      <c r="L20" s="212">
        <f t="shared" si="3"/>
        <v>1206.3221712689949</v>
      </c>
      <c r="M20" s="212">
        <f>'Prep Datas'!G22</f>
        <v>12.5</v>
      </c>
      <c r="N20" s="212">
        <f>'Prep Datas'!H22</f>
        <v>65</v>
      </c>
      <c r="O20" s="212">
        <f t="shared" si="4"/>
        <v>8.125</v>
      </c>
      <c r="P20" s="212">
        <f t="shared" si="5"/>
        <v>185.25</v>
      </c>
      <c r="Q20" s="217">
        <f>(P20*P11/L20)</f>
        <v>0.15813607405404931</v>
      </c>
      <c r="R20" s="320"/>
      <c r="S20" s="162"/>
      <c r="AA20" s="161"/>
      <c r="AB20" s="161"/>
      <c r="AC20" s="161"/>
      <c r="AD20" s="161"/>
      <c r="AE20" s="161"/>
      <c r="AF20" s="161"/>
    </row>
    <row r="21" spans="1:32" ht="18.95" customHeight="1">
      <c r="A21" s="329" t="s">
        <v>289</v>
      </c>
      <c r="B21" s="330"/>
      <c r="C21" s="330"/>
      <c r="D21" s="331"/>
      <c r="E21" s="218">
        <f>'Spin Datas'!D16</f>
        <v>58</v>
      </c>
      <c r="F21" s="219" t="s">
        <v>237</v>
      </c>
      <c r="G21" s="219" t="s">
        <v>237</v>
      </c>
      <c r="H21" s="219" t="s">
        <v>237</v>
      </c>
      <c r="I21" s="220">
        <v>97.5</v>
      </c>
      <c r="J21" s="210">
        <f>('Spin Datas'!H16*'Spin Datas'!C16*3)/1000*(I21/100)</f>
        <v>241.57489858844161</v>
      </c>
      <c r="K21" s="201" t="s">
        <v>237</v>
      </c>
      <c r="L21" s="201" t="s">
        <v>237</v>
      </c>
      <c r="M21" s="201" t="s">
        <v>237</v>
      </c>
      <c r="N21" s="201" t="s">
        <v>237</v>
      </c>
      <c r="O21" s="221">
        <f>((7.5+(80/'Spin Datas'!D16)+(500/('Spin Datas'!F16*'Spin Datas'!F16)))*('Spin Datas'!E16/10000)*('Spin Datas'!E16/10000)*'Spin Datas'!J16)*'Spin Datas'!C16/1000</f>
        <v>20.841126469873256</v>
      </c>
      <c r="P21" s="218">
        <f t="shared" si="5"/>
        <v>487.68235939503415</v>
      </c>
      <c r="Q21" s="222">
        <f>(P21*Q11/J21)</f>
        <v>2.0268700347115076</v>
      </c>
      <c r="R21" s="304">
        <f>SUM(Q21:Q23)</f>
        <v>2.520878314120178</v>
      </c>
      <c r="S21" s="162"/>
      <c r="AA21" s="161"/>
      <c r="AB21" s="161"/>
      <c r="AC21" s="161"/>
      <c r="AD21" s="161"/>
      <c r="AE21" s="161"/>
      <c r="AF21" s="161"/>
    </row>
    <row r="22" spans="1:32" ht="18.95" customHeight="1">
      <c r="A22" s="287" t="s">
        <v>290</v>
      </c>
      <c r="B22" s="288"/>
      <c r="C22" s="288"/>
      <c r="D22" s="289"/>
      <c r="E22" s="219" t="s">
        <v>237</v>
      </c>
      <c r="F22" s="219" t="s">
        <v>237</v>
      </c>
      <c r="G22" s="219" t="s">
        <v>237</v>
      </c>
      <c r="H22" s="219" t="s">
        <v>237</v>
      </c>
      <c r="I22" s="219" t="s">
        <v>237</v>
      </c>
      <c r="J22" s="219" t="s">
        <v>237</v>
      </c>
      <c r="K22" s="219" t="s">
        <v>237</v>
      </c>
      <c r="L22" s="219" t="s">
        <v>237</v>
      </c>
      <c r="M22" s="206">
        <f>'Spin Datas'!K16</f>
        <v>7.5</v>
      </c>
      <c r="N22" s="223">
        <v>52</v>
      </c>
      <c r="O22" s="206">
        <f t="shared" ref="O22:O25" si="6">M22*(N22/100)</f>
        <v>3.9000000000000004</v>
      </c>
      <c r="P22" s="206">
        <f>O22*24*(I21/100)</f>
        <v>91.26</v>
      </c>
      <c r="Q22" s="211">
        <f>P22/J21</f>
        <v>0.37777103719486538</v>
      </c>
      <c r="R22" s="304"/>
      <c r="S22" s="162"/>
      <c r="AA22" s="161"/>
      <c r="AB22" s="161"/>
      <c r="AC22" s="161"/>
      <c r="AD22" s="161"/>
      <c r="AE22" s="161"/>
      <c r="AF22" s="161"/>
    </row>
    <row r="23" spans="1:32" ht="18.95" customHeight="1">
      <c r="A23" s="287" t="s">
        <v>293</v>
      </c>
      <c r="B23" s="288"/>
      <c r="C23" s="288"/>
      <c r="D23" s="289"/>
      <c r="E23" s="219" t="s">
        <v>237</v>
      </c>
      <c r="F23" s="219" t="s">
        <v>237</v>
      </c>
      <c r="G23" s="219" t="s">
        <v>237</v>
      </c>
      <c r="H23" s="219" t="s">
        <v>237</v>
      </c>
      <c r="I23" s="219" t="s">
        <v>237</v>
      </c>
      <c r="J23" s="219" t="s">
        <v>237</v>
      </c>
      <c r="K23" s="219" t="s">
        <v>237</v>
      </c>
      <c r="L23" s="219" t="s">
        <v>237</v>
      </c>
      <c r="M23" s="206">
        <f>'Spin Datas'!L16</f>
        <v>1.5</v>
      </c>
      <c r="N23" s="223">
        <v>80</v>
      </c>
      <c r="O23" s="206">
        <f t="shared" si="6"/>
        <v>1.2000000000000002</v>
      </c>
      <c r="P23" s="206">
        <f>O23*24*(I21/100)</f>
        <v>28.080000000000002</v>
      </c>
      <c r="Q23" s="211">
        <f>P23/J21</f>
        <v>0.11623724221380473</v>
      </c>
      <c r="R23" s="303"/>
      <c r="S23" s="162"/>
      <c r="AA23" s="161"/>
      <c r="AB23" s="161"/>
      <c r="AC23" s="161"/>
      <c r="AD23" s="161"/>
      <c r="AE23" s="161"/>
      <c r="AF23" s="161"/>
    </row>
    <row r="24" spans="1:32" ht="18.95" customHeight="1">
      <c r="A24" s="287" t="s">
        <v>291</v>
      </c>
      <c r="B24" s="288"/>
      <c r="C24" s="288"/>
      <c r="D24" s="289"/>
      <c r="E24" s="206">
        <f>'Post Spin Datas'!D5</f>
        <v>58</v>
      </c>
      <c r="F24" s="206">
        <f>'Post Spin Datas'!E5</f>
        <v>1650</v>
      </c>
      <c r="G24" s="223">
        <v>80</v>
      </c>
      <c r="H24" s="198">
        <f>F24*60*(G24/100)/(768*'Post Spin Datas'!D5*2.2045)</f>
        <v>0.80653991443833539</v>
      </c>
      <c r="I24" s="207">
        <v>95</v>
      </c>
      <c r="J24" s="208">
        <f>H24*24*(I24/100)</f>
        <v>18.389110049194045</v>
      </c>
      <c r="K24" s="206">
        <f>'Post Spin Datas'!C5</f>
        <v>72</v>
      </c>
      <c r="L24" s="206">
        <f>J24*K24</f>
        <v>1324.0159235419712</v>
      </c>
      <c r="M24" s="206">
        <f>'Post Spin Datas'!F5</f>
        <v>30</v>
      </c>
      <c r="N24" s="223">
        <v>60</v>
      </c>
      <c r="O24" s="206">
        <f t="shared" si="6"/>
        <v>18</v>
      </c>
      <c r="P24" s="206">
        <f t="shared" ref="P24" si="7">O24*24*(I24/100)</f>
        <v>410.4</v>
      </c>
      <c r="Q24" s="211">
        <f>(P24*R11/L24)</f>
        <v>0.30996606060606063</v>
      </c>
      <c r="R24" s="302">
        <f>SUM(Q24:Q25)</f>
        <v>0.33063046464646467</v>
      </c>
      <c r="S24" s="162"/>
      <c r="AA24" s="161"/>
      <c r="AB24" s="161"/>
      <c r="AC24" s="161"/>
      <c r="AD24" s="161"/>
      <c r="AE24" s="161"/>
      <c r="AF24" s="161"/>
    </row>
    <row r="25" spans="1:32" ht="18.95" customHeight="1">
      <c r="A25" s="287" t="s">
        <v>292</v>
      </c>
      <c r="B25" s="288"/>
      <c r="C25" s="288"/>
      <c r="D25" s="289"/>
      <c r="E25" s="224" t="s">
        <v>237</v>
      </c>
      <c r="F25" s="224" t="s">
        <v>237</v>
      </c>
      <c r="G25" s="224" t="s">
        <v>237</v>
      </c>
      <c r="H25" s="224" t="s">
        <v>237</v>
      </c>
      <c r="I25" s="224" t="s">
        <v>237</v>
      </c>
      <c r="J25" s="224" t="s">
        <v>237</v>
      </c>
      <c r="K25" s="224" t="s">
        <v>237</v>
      </c>
      <c r="L25" s="224" t="s">
        <v>237</v>
      </c>
      <c r="M25" s="206">
        <f>'Post Spin Datas'!G5</f>
        <v>2</v>
      </c>
      <c r="N25" s="223">
        <v>60</v>
      </c>
      <c r="O25" s="206">
        <f t="shared" si="6"/>
        <v>1.2</v>
      </c>
      <c r="P25" s="206">
        <f>O25*24*(I24/100)</f>
        <v>27.359999999999996</v>
      </c>
      <c r="Q25" s="211">
        <f>P25/L24</f>
        <v>2.0664404040404039E-2</v>
      </c>
      <c r="R25" s="303"/>
      <c r="S25" s="162"/>
      <c r="AA25" s="161"/>
      <c r="AB25" s="161"/>
      <c r="AC25" s="161"/>
      <c r="AD25" s="161"/>
      <c r="AE25" s="161"/>
      <c r="AF25" s="161"/>
    </row>
    <row r="26" spans="1:32" ht="18.95" customHeight="1">
      <c r="A26" s="287" t="s">
        <v>305</v>
      </c>
      <c r="B26" s="288"/>
      <c r="C26" s="288"/>
      <c r="D26" s="289"/>
      <c r="E26" s="224" t="s">
        <v>237</v>
      </c>
      <c r="F26" s="224" t="s">
        <v>237</v>
      </c>
      <c r="G26" s="224" t="s">
        <v>237</v>
      </c>
      <c r="H26" s="224" t="s">
        <v>237</v>
      </c>
      <c r="I26" s="224" t="s">
        <v>237</v>
      </c>
      <c r="J26" s="224" t="s">
        <v>237</v>
      </c>
      <c r="K26" s="224" t="s">
        <v>237</v>
      </c>
      <c r="L26" s="224" t="s">
        <v>237</v>
      </c>
      <c r="M26" s="224" t="s">
        <v>237</v>
      </c>
      <c r="N26" s="224" t="s">
        <v>237</v>
      </c>
      <c r="O26" s="224" t="s">
        <v>237</v>
      </c>
      <c r="P26" s="207"/>
      <c r="Q26" s="211">
        <f t="shared" ref="Q26" si="8">P26/$B$4</f>
        <v>0</v>
      </c>
      <c r="R26" s="302">
        <f>SUM(Q26:Q32)</f>
        <v>0</v>
      </c>
      <c r="S26" s="162"/>
      <c r="AA26" s="161"/>
      <c r="AB26" s="161"/>
      <c r="AC26" s="161"/>
      <c r="AD26" s="161"/>
      <c r="AE26" s="161"/>
      <c r="AF26" s="161"/>
    </row>
    <row r="27" spans="1:32" ht="18.95" customHeight="1">
      <c r="A27" s="287" t="s">
        <v>249</v>
      </c>
      <c r="B27" s="288"/>
      <c r="C27" s="288"/>
      <c r="D27" s="289"/>
      <c r="E27" s="224" t="s">
        <v>237</v>
      </c>
      <c r="F27" s="224" t="s">
        <v>237</v>
      </c>
      <c r="G27" s="224" t="s">
        <v>237</v>
      </c>
      <c r="H27" s="224" t="s">
        <v>237</v>
      </c>
      <c r="I27" s="224" t="s">
        <v>237</v>
      </c>
      <c r="J27" s="224" t="s">
        <v>237</v>
      </c>
      <c r="K27" s="224" t="s">
        <v>237</v>
      </c>
      <c r="L27" s="224" t="s">
        <v>237</v>
      </c>
      <c r="M27" s="224" t="s">
        <v>237</v>
      </c>
      <c r="N27" s="224" t="s">
        <v>237</v>
      </c>
      <c r="O27" s="224" t="s">
        <v>237</v>
      </c>
      <c r="P27" s="207"/>
      <c r="Q27" s="211">
        <f>P27/$B$4</f>
        <v>0</v>
      </c>
      <c r="R27" s="304"/>
      <c r="S27" s="162"/>
      <c r="AA27" s="161"/>
      <c r="AB27" s="161"/>
      <c r="AC27" s="161"/>
      <c r="AD27" s="161"/>
      <c r="AE27" s="161"/>
      <c r="AF27" s="161"/>
    </row>
    <row r="28" spans="1:32" ht="18.95" customHeight="1">
      <c r="A28" s="287" t="s">
        <v>300</v>
      </c>
      <c r="B28" s="288"/>
      <c r="C28" s="288"/>
      <c r="D28" s="289"/>
      <c r="E28" s="224" t="s">
        <v>237</v>
      </c>
      <c r="F28" s="224" t="s">
        <v>237</v>
      </c>
      <c r="G28" s="224" t="s">
        <v>237</v>
      </c>
      <c r="H28" s="224" t="s">
        <v>237</v>
      </c>
      <c r="I28" s="224" t="s">
        <v>237</v>
      </c>
      <c r="J28" s="224" t="s">
        <v>237</v>
      </c>
      <c r="K28" s="224" t="s">
        <v>237</v>
      </c>
      <c r="L28" s="224" t="s">
        <v>237</v>
      </c>
      <c r="M28" s="224" t="s">
        <v>237</v>
      </c>
      <c r="N28" s="224" t="s">
        <v>237</v>
      </c>
      <c r="O28" s="224" t="s">
        <v>237</v>
      </c>
      <c r="P28" s="207"/>
      <c r="Q28" s="211">
        <f t="shared" ref="Q28" si="9">P28/$B$4</f>
        <v>0</v>
      </c>
      <c r="R28" s="304"/>
      <c r="S28" s="162"/>
      <c r="AA28" s="161"/>
      <c r="AB28" s="161"/>
      <c r="AC28" s="161"/>
      <c r="AD28" s="161"/>
      <c r="AE28" s="161"/>
      <c r="AF28" s="161"/>
    </row>
    <row r="29" spans="1:32" ht="18.95" customHeight="1">
      <c r="A29" s="287" t="s">
        <v>308</v>
      </c>
      <c r="B29" s="288"/>
      <c r="C29" s="288"/>
      <c r="D29" s="289"/>
      <c r="E29" s="224" t="s">
        <v>237</v>
      </c>
      <c r="F29" s="224" t="s">
        <v>237</v>
      </c>
      <c r="G29" s="224" t="s">
        <v>237</v>
      </c>
      <c r="H29" s="224" t="s">
        <v>237</v>
      </c>
      <c r="I29" s="224" t="s">
        <v>237</v>
      </c>
      <c r="J29" s="224" t="s">
        <v>237</v>
      </c>
      <c r="K29" s="224" t="s">
        <v>237</v>
      </c>
      <c r="L29" s="224" t="s">
        <v>237</v>
      </c>
      <c r="M29" s="224" t="s">
        <v>237</v>
      </c>
      <c r="N29" s="224" t="s">
        <v>237</v>
      </c>
      <c r="O29" s="224" t="s">
        <v>237</v>
      </c>
      <c r="P29" s="207"/>
      <c r="Q29" s="211">
        <f t="shared" ref="Q29:Q32" si="10">P29/$B$4</f>
        <v>0</v>
      </c>
      <c r="R29" s="304"/>
      <c r="S29" s="162"/>
      <c r="AA29" s="161"/>
      <c r="AB29" s="161"/>
      <c r="AC29" s="161"/>
      <c r="AD29" s="161"/>
      <c r="AE29" s="161"/>
      <c r="AF29" s="161"/>
    </row>
    <row r="30" spans="1:32" ht="18.95" customHeight="1">
      <c r="A30" s="287" t="s">
        <v>55</v>
      </c>
      <c r="B30" s="288"/>
      <c r="C30" s="288"/>
      <c r="D30" s="289"/>
      <c r="E30" s="224" t="s">
        <v>237</v>
      </c>
      <c r="F30" s="224" t="s">
        <v>237</v>
      </c>
      <c r="G30" s="224" t="s">
        <v>237</v>
      </c>
      <c r="H30" s="224" t="s">
        <v>237</v>
      </c>
      <c r="I30" s="224" t="s">
        <v>237</v>
      </c>
      <c r="J30" s="224" t="s">
        <v>237</v>
      </c>
      <c r="K30" s="224" t="s">
        <v>237</v>
      </c>
      <c r="L30" s="224" t="s">
        <v>237</v>
      </c>
      <c r="M30" s="224" t="s">
        <v>237</v>
      </c>
      <c r="N30" s="224" t="s">
        <v>237</v>
      </c>
      <c r="O30" s="224" t="s">
        <v>237</v>
      </c>
      <c r="P30" s="207"/>
      <c r="Q30" s="211">
        <f t="shared" si="10"/>
        <v>0</v>
      </c>
      <c r="R30" s="304"/>
      <c r="S30" s="162"/>
      <c r="AA30" s="161"/>
      <c r="AB30" s="161"/>
      <c r="AC30" s="161"/>
      <c r="AD30" s="161"/>
      <c r="AE30" s="161"/>
      <c r="AF30" s="161"/>
    </row>
    <row r="31" spans="1:32" ht="18.95" customHeight="1">
      <c r="A31" s="287" t="s">
        <v>238</v>
      </c>
      <c r="B31" s="288"/>
      <c r="C31" s="288"/>
      <c r="D31" s="289"/>
      <c r="E31" s="224" t="s">
        <v>237</v>
      </c>
      <c r="F31" s="224" t="s">
        <v>237</v>
      </c>
      <c r="G31" s="224" t="s">
        <v>237</v>
      </c>
      <c r="H31" s="224" t="s">
        <v>237</v>
      </c>
      <c r="I31" s="224" t="s">
        <v>237</v>
      </c>
      <c r="J31" s="224" t="s">
        <v>237</v>
      </c>
      <c r="K31" s="224" t="s">
        <v>237</v>
      </c>
      <c r="L31" s="224" t="s">
        <v>237</v>
      </c>
      <c r="M31" s="224" t="s">
        <v>237</v>
      </c>
      <c r="N31" s="224" t="s">
        <v>237</v>
      </c>
      <c r="O31" s="224" t="s">
        <v>237</v>
      </c>
      <c r="P31" s="207"/>
      <c r="Q31" s="211">
        <f t="shared" si="10"/>
        <v>0</v>
      </c>
      <c r="R31" s="304"/>
      <c r="S31" s="162"/>
      <c r="AA31" s="161"/>
      <c r="AB31" s="161"/>
      <c r="AC31" s="161"/>
      <c r="AD31" s="161"/>
      <c r="AE31" s="161"/>
      <c r="AF31" s="161"/>
    </row>
    <row r="32" spans="1:32" ht="18.95" customHeight="1">
      <c r="A32" s="287" t="s">
        <v>226</v>
      </c>
      <c r="B32" s="288"/>
      <c r="C32" s="288"/>
      <c r="D32" s="289"/>
      <c r="E32" s="224" t="s">
        <v>237</v>
      </c>
      <c r="F32" s="224" t="s">
        <v>237</v>
      </c>
      <c r="G32" s="224" t="s">
        <v>237</v>
      </c>
      <c r="H32" s="224" t="s">
        <v>237</v>
      </c>
      <c r="I32" s="224" t="s">
        <v>237</v>
      </c>
      <c r="J32" s="224" t="s">
        <v>237</v>
      </c>
      <c r="K32" s="224" t="s">
        <v>237</v>
      </c>
      <c r="L32" s="224" t="s">
        <v>237</v>
      </c>
      <c r="M32" s="224" t="s">
        <v>237</v>
      </c>
      <c r="N32" s="224" t="s">
        <v>237</v>
      </c>
      <c r="O32" s="224" t="s">
        <v>237</v>
      </c>
      <c r="P32" s="207"/>
      <c r="Q32" s="211">
        <f t="shared" si="10"/>
        <v>0</v>
      </c>
      <c r="R32" s="303"/>
      <c r="S32" s="162"/>
      <c r="AA32" s="161"/>
      <c r="AB32" s="161"/>
      <c r="AC32" s="161"/>
      <c r="AD32" s="161"/>
      <c r="AE32" s="161"/>
      <c r="AF32" s="161"/>
    </row>
    <row r="33" spans="1:32" ht="18.95" customHeight="1">
      <c r="A33" s="297" t="s">
        <v>59</v>
      </c>
      <c r="B33" s="298"/>
      <c r="C33" s="298"/>
      <c r="D33" s="299"/>
      <c r="E33" s="225"/>
      <c r="F33" s="225"/>
      <c r="G33" s="225"/>
      <c r="H33" s="225"/>
      <c r="I33" s="225"/>
      <c r="J33" s="225"/>
      <c r="K33" s="225"/>
      <c r="L33" s="225"/>
      <c r="M33" s="225"/>
      <c r="N33" s="225"/>
      <c r="O33" s="225"/>
      <c r="P33" s="225"/>
      <c r="Q33" s="225"/>
      <c r="R33" s="226">
        <f>SUM(R16:R32)</f>
        <v>3.8769356296388655</v>
      </c>
      <c r="S33" s="162"/>
      <c r="AA33" s="161"/>
      <c r="AB33" s="161"/>
      <c r="AC33" s="161"/>
      <c r="AD33" s="161"/>
      <c r="AE33" s="161"/>
      <c r="AF33" s="161"/>
    </row>
    <row r="34" spans="1:32" ht="18.95" customHeight="1">
      <c r="A34" s="300"/>
      <c r="B34" s="300"/>
      <c r="C34" s="300"/>
      <c r="D34" s="300"/>
      <c r="E34" s="300"/>
      <c r="F34" s="300"/>
      <c r="G34" s="300"/>
      <c r="H34" s="300"/>
      <c r="I34" s="300"/>
      <c r="J34" s="300"/>
      <c r="K34" s="300"/>
      <c r="L34" s="300"/>
      <c r="M34" s="300"/>
      <c r="N34" s="300"/>
      <c r="O34" s="300"/>
      <c r="P34" s="300"/>
      <c r="Q34" s="300"/>
      <c r="R34" s="300"/>
      <c r="S34" s="162"/>
      <c r="T34" s="162"/>
      <c r="U34" s="162"/>
      <c r="V34" s="162"/>
      <c r="W34" s="161"/>
      <c r="X34" s="161"/>
      <c r="Y34" s="161"/>
      <c r="Z34" s="161"/>
      <c r="AA34" s="161"/>
      <c r="AB34" s="161"/>
      <c r="AC34" s="161"/>
      <c r="AD34" s="161"/>
      <c r="AE34" s="161"/>
      <c r="AF34" s="161"/>
    </row>
    <row r="35" spans="1:32" ht="18.95" customHeight="1">
      <c r="A35" s="301"/>
      <c r="B35" s="301"/>
      <c r="C35" s="301"/>
      <c r="D35" s="301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T35" s="162"/>
      <c r="U35" s="162"/>
      <c r="V35" s="162"/>
      <c r="W35" s="161"/>
      <c r="X35" s="161"/>
      <c r="Y35" s="161"/>
      <c r="Z35" s="161"/>
      <c r="AA35" s="161"/>
      <c r="AB35" s="161"/>
      <c r="AC35" s="161"/>
      <c r="AD35" s="161"/>
      <c r="AE35" s="161"/>
      <c r="AF35" s="161"/>
    </row>
    <row r="36" spans="1:32" ht="18.95" customHeight="1">
      <c r="A36" s="179"/>
      <c r="B36" s="179"/>
      <c r="C36" s="179"/>
      <c r="D36" s="179"/>
      <c r="E36" s="179"/>
      <c r="F36" s="179"/>
      <c r="G36" s="179"/>
      <c r="H36" s="179"/>
      <c r="I36" s="179"/>
      <c r="J36" s="179"/>
      <c r="K36" s="179"/>
      <c r="L36" s="179"/>
      <c r="M36" s="179"/>
      <c r="N36" s="179"/>
      <c r="O36" s="179"/>
      <c r="P36" s="179"/>
      <c r="Q36" s="179"/>
      <c r="R36" s="179"/>
      <c r="V36" s="162"/>
      <c r="W36" s="161"/>
      <c r="X36" s="161"/>
      <c r="Y36" s="161"/>
      <c r="Z36" s="161"/>
      <c r="AA36" s="161"/>
      <c r="AB36" s="161"/>
      <c r="AC36" s="161"/>
      <c r="AD36" s="161"/>
      <c r="AE36" s="161"/>
      <c r="AF36" s="161"/>
    </row>
    <row r="37" spans="1:32" ht="18.95" customHeight="1">
      <c r="V37" s="162"/>
      <c r="W37" s="161"/>
      <c r="X37" s="161"/>
      <c r="Y37" s="161"/>
      <c r="Z37" s="161"/>
      <c r="AA37" s="161"/>
      <c r="AB37" s="161"/>
      <c r="AC37" s="161"/>
      <c r="AD37" s="161"/>
      <c r="AE37" s="161"/>
      <c r="AF37" s="161"/>
    </row>
    <row r="38" spans="1:32" ht="18.95" customHeight="1">
      <c r="V38" s="162"/>
      <c r="W38" s="161"/>
      <c r="X38" s="161"/>
      <c r="Y38" s="161"/>
      <c r="Z38" s="161"/>
      <c r="AA38" s="161"/>
      <c r="AB38" s="161"/>
      <c r="AC38" s="161"/>
      <c r="AD38" s="161"/>
      <c r="AE38" s="161"/>
      <c r="AF38" s="161"/>
    </row>
    <row r="39" spans="1:32" ht="18.95" customHeight="1">
      <c r="V39" s="162"/>
      <c r="W39" s="161"/>
      <c r="X39" s="161"/>
      <c r="Y39" s="161"/>
      <c r="Z39" s="161"/>
      <c r="AA39" s="161"/>
      <c r="AB39" s="161"/>
      <c r="AC39" s="161"/>
      <c r="AD39" s="161"/>
      <c r="AE39" s="161"/>
      <c r="AF39" s="161"/>
    </row>
    <row r="40" spans="1:32" ht="18.95" customHeight="1">
      <c r="V40" s="162"/>
      <c r="W40" s="161"/>
      <c r="X40" s="161"/>
      <c r="Y40" s="161"/>
      <c r="Z40" s="161"/>
      <c r="AA40" s="161"/>
      <c r="AB40" s="161"/>
      <c r="AC40" s="161"/>
      <c r="AD40" s="161"/>
      <c r="AE40" s="161"/>
      <c r="AF40" s="161"/>
    </row>
    <row r="41" spans="1:32" ht="18.95" customHeight="1">
      <c r="V41" s="162"/>
      <c r="W41" s="161"/>
      <c r="X41" s="161"/>
      <c r="Y41" s="161"/>
      <c r="Z41" s="161"/>
      <c r="AA41" s="161"/>
      <c r="AB41" s="161"/>
      <c r="AC41" s="161"/>
      <c r="AD41" s="161"/>
      <c r="AE41" s="161"/>
      <c r="AF41" s="161"/>
    </row>
    <row r="42" spans="1:32" ht="18.95" customHeight="1">
      <c r="V42" s="162"/>
      <c r="W42" s="161"/>
      <c r="X42" s="161"/>
      <c r="Y42" s="161"/>
      <c r="Z42" s="161"/>
      <c r="AA42" s="161"/>
      <c r="AB42" s="161"/>
      <c r="AC42" s="161"/>
      <c r="AD42" s="161"/>
      <c r="AE42" s="161"/>
      <c r="AF42" s="161"/>
    </row>
    <row r="43" spans="1:32" ht="18.95" customHeight="1">
      <c r="V43" s="162"/>
      <c r="W43" s="161"/>
      <c r="X43" s="161"/>
      <c r="Y43" s="161"/>
      <c r="Z43" s="161"/>
      <c r="AA43" s="161"/>
      <c r="AB43" s="161"/>
      <c r="AC43" s="161"/>
      <c r="AD43" s="161"/>
      <c r="AE43" s="161"/>
      <c r="AF43" s="161"/>
    </row>
    <row r="44" spans="1:32" ht="18.95" customHeight="1">
      <c r="V44" s="162"/>
      <c r="W44" s="161"/>
      <c r="X44" s="161"/>
      <c r="Y44" s="161"/>
      <c r="Z44" s="161"/>
      <c r="AA44" s="161"/>
      <c r="AB44" s="161"/>
      <c r="AC44" s="161"/>
      <c r="AD44" s="161"/>
      <c r="AE44" s="161"/>
      <c r="AF44" s="161"/>
    </row>
    <row r="45" spans="1:32" ht="18.95" customHeight="1">
      <c r="V45" s="162"/>
      <c r="W45" s="161"/>
      <c r="X45" s="161"/>
      <c r="Y45" s="161"/>
      <c r="Z45" s="161"/>
      <c r="AA45" s="161"/>
      <c r="AB45" s="161"/>
      <c r="AC45" s="161"/>
      <c r="AD45" s="161"/>
      <c r="AE45" s="161"/>
      <c r="AF45" s="161"/>
    </row>
    <row r="46" spans="1:32" ht="18.95" customHeight="1">
      <c r="V46" s="162"/>
      <c r="W46" s="161"/>
      <c r="X46" s="161"/>
      <c r="Y46" s="161"/>
      <c r="Z46" s="161"/>
      <c r="AA46" s="161"/>
      <c r="AB46" s="161"/>
      <c r="AC46" s="161"/>
      <c r="AD46" s="161"/>
      <c r="AE46" s="161"/>
      <c r="AF46" s="161"/>
    </row>
    <row r="47" spans="1:32" ht="18.95" customHeight="1">
      <c r="V47" s="162"/>
      <c r="W47" s="161"/>
      <c r="X47" s="161"/>
      <c r="Y47" s="161"/>
      <c r="Z47" s="161"/>
      <c r="AA47" s="161"/>
      <c r="AB47" s="161"/>
      <c r="AC47" s="161"/>
      <c r="AD47" s="161"/>
      <c r="AE47" s="161"/>
      <c r="AF47" s="161"/>
    </row>
    <row r="48" spans="1:32" ht="18.95" customHeight="1">
      <c r="V48" s="162"/>
      <c r="W48" s="161"/>
      <c r="X48" s="161"/>
      <c r="Y48" s="161"/>
      <c r="Z48" s="161"/>
      <c r="AA48" s="161"/>
      <c r="AB48" s="161"/>
      <c r="AC48" s="161"/>
      <c r="AD48" s="161"/>
      <c r="AE48" s="161"/>
      <c r="AF48" s="161"/>
    </row>
    <row r="49" spans="1:32" ht="18.95" customHeight="1">
      <c r="V49" s="162"/>
      <c r="W49" s="161"/>
      <c r="X49" s="161"/>
      <c r="Y49" s="161"/>
      <c r="Z49" s="161"/>
      <c r="AA49" s="161"/>
      <c r="AB49" s="161"/>
      <c r="AC49" s="161"/>
      <c r="AD49" s="161"/>
      <c r="AE49" s="161"/>
      <c r="AF49" s="161"/>
    </row>
    <row r="50" spans="1:32" ht="18.95" customHeight="1">
      <c r="V50" s="162"/>
      <c r="W50" s="161"/>
      <c r="X50" s="161"/>
      <c r="Y50" s="161"/>
      <c r="Z50" s="161"/>
      <c r="AA50" s="161"/>
      <c r="AB50" s="161"/>
      <c r="AC50" s="161"/>
      <c r="AD50" s="161"/>
      <c r="AE50" s="161"/>
      <c r="AF50" s="161"/>
    </row>
    <row r="51" spans="1:32" ht="18.95" customHeight="1">
      <c r="V51" s="162"/>
      <c r="W51" s="161"/>
      <c r="X51" s="161"/>
      <c r="Y51" s="161"/>
      <c r="Z51" s="161"/>
      <c r="AA51" s="161"/>
      <c r="AB51" s="161"/>
      <c r="AC51" s="161"/>
      <c r="AD51" s="161"/>
      <c r="AE51" s="161"/>
      <c r="AF51" s="161"/>
    </row>
    <row r="52" spans="1:32" ht="18.95" customHeight="1">
      <c r="V52" s="162"/>
      <c r="W52" s="161"/>
      <c r="X52" s="161"/>
      <c r="Y52" s="161"/>
      <c r="Z52" s="161"/>
      <c r="AA52" s="161"/>
      <c r="AB52" s="161"/>
      <c r="AC52" s="161"/>
      <c r="AD52" s="161"/>
      <c r="AE52" s="161"/>
      <c r="AF52" s="161"/>
    </row>
    <row r="53" spans="1:32" ht="18.95" customHeight="1">
      <c r="V53" s="162"/>
      <c r="W53" s="161"/>
      <c r="X53" s="161"/>
      <c r="Y53" s="161"/>
      <c r="Z53" s="161"/>
      <c r="AA53" s="161"/>
      <c r="AB53" s="161"/>
      <c r="AC53" s="161"/>
      <c r="AD53" s="161"/>
      <c r="AE53" s="161"/>
      <c r="AF53" s="161"/>
    </row>
    <row r="54" spans="1:32" ht="18.95" customHeight="1">
      <c r="V54" s="162"/>
      <c r="W54" s="161"/>
      <c r="X54" s="161"/>
      <c r="Y54" s="161"/>
      <c r="Z54" s="161"/>
      <c r="AA54" s="161"/>
      <c r="AB54" s="161"/>
      <c r="AC54" s="161"/>
      <c r="AD54" s="161"/>
      <c r="AE54" s="161"/>
      <c r="AF54" s="161"/>
    </row>
    <row r="55" spans="1:32" ht="18.95" customHeight="1">
      <c r="S55" s="161"/>
      <c r="V55" s="162"/>
      <c r="W55" s="161"/>
      <c r="X55" s="161"/>
      <c r="Y55" s="161"/>
      <c r="Z55" s="161"/>
      <c r="AA55" s="161"/>
      <c r="AB55" s="161"/>
      <c r="AC55" s="161"/>
      <c r="AD55" s="161"/>
      <c r="AE55" s="161"/>
      <c r="AF55" s="161"/>
    </row>
    <row r="56" spans="1:32" ht="18.95" customHeight="1">
      <c r="S56" s="161"/>
      <c r="T56" s="162"/>
      <c r="U56" s="162"/>
      <c r="V56" s="162"/>
      <c r="W56" s="161"/>
      <c r="X56" s="161"/>
      <c r="Y56" s="161"/>
      <c r="Z56" s="161"/>
      <c r="AA56" s="161"/>
      <c r="AB56" s="161"/>
      <c r="AC56" s="161"/>
      <c r="AD56" s="161"/>
      <c r="AE56" s="161"/>
      <c r="AF56" s="161"/>
    </row>
    <row r="57" spans="1:32" ht="24" customHeight="1">
      <c r="K57" s="161"/>
      <c r="L57" s="161"/>
      <c r="M57" s="161"/>
      <c r="N57" s="161"/>
      <c r="O57" s="172"/>
      <c r="P57" s="172"/>
      <c r="Q57" s="173"/>
      <c r="R57" s="161"/>
      <c r="S57" s="161"/>
      <c r="T57" s="162"/>
      <c r="U57" s="162"/>
      <c r="V57" s="162"/>
      <c r="W57" s="161"/>
      <c r="X57" s="161"/>
      <c r="Y57" s="161"/>
      <c r="Z57" s="161"/>
      <c r="AA57" s="161"/>
      <c r="AB57" s="161"/>
      <c r="AC57" s="161"/>
      <c r="AD57" s="161"/>
      <c r="AE57" s="161"/>
      <c r="AF57" s="161"/>
    </row>
    <row r="58" spans="1:32" ht="24" customHeight="1">
      <c r="O58" s="172"/>
      <c r="P58" s="172"/>
      <c r="Q58" s="172"/>
      <c r="R58" s="161"/>
      <c r="S58" s="162"/>
      <c r="T58" s="162"/>
      <c r="U58" s="162"/>
      <c r="V58" s="162"/>
      <c r="W58" s="161"/>
      <c r="X58" s="161"/>
      <c r="Y58" s="161"/>
      <c r="Z58" s="161"/>
      <c r="AA58" s="161"/>
      <c r="AB58" s="161"/>
      <c r="AC58" s="161"/>
      <c r="AD58" s="161"/>
      <c r="AE58" s="161"/>
      <c r="AF58" s="161"/>
    </row>
    <row r="59" spans="1:32">
      <c r="A59" s="170"/>
      <c r="B59" s="170"/>
      <c r="C59" s="170"/>
      <c r="D59" s="170"/>
      <c r="E59" s="170"/>
      <c r="F59" s="170"/>
      <c r="G59" s="170"/>
      <c r="I59" s="170"/>
      <c r="J59" s="170"/>
      <c r="K59" s="170"/>
      <c r="L59" s="170"/>
      <c r="M59" s="162"/>
      <c r="N59" s="163"/>
      <c r="O59" s="163"/>
      <c r="P59" s="163"/>
      <c r="Q59" s="163"/>
      <c r="R59" s="162"/>
      <c r="S59" s="162"/>
      <c r="T59" s="162"/>
      <c r="U59" s="162"/>
      <c r="V59" s="162"/>
      <c r="W59" s="161"/>
      <c r="X59" s="161"/>
      <c r="Y59" s="161"/>
      <c r="Z59" s="161"/>
      <c r="AA59" s="161"/>
      <c r="AB59" s="161"/>
      <c r="AC59" s="161"/>
      <c r="AD59" s="161"/>
      <c r="AE59" s="161"/>
      <c r="AF59" s="161"/>
    </row>
    <row r="60" spans="1:32">
      <c r="A60" s="170"/>
      <c r="B60" s="170"/>
      <c r="C60" s="170"/>
      <c r="D60" s="170"/>
      <c r="E60" s="170"/>
      <c r="F60" s="170"/>
      <c r="G60" s="170"/>
      <c r="H60" s="170"/>
      <c r="I60" s="170"/>
      <c r="J60" s="170"/>
      <c r="K60" s="170"/>
      <c r="L60" s="170"/>
      <c r="M60" s="170"/>
      <c r="N60" s="163"/>
      <c r="O60" s="163"/>
      <c r="P60" s="163"/>
      <c r="Q60" s="163"/>
      <c r="R60" s="162"/>
      <c r="S60" s="162"/>
      <c r="T60" s="162"/>
      <c r="U60" s="162"/>
      <c r="V60" s="162"/>
      <c r="W60" s="161"/>
      <c r="X60" s="161"/>
      <c r="Y60" s="161"/>
      <c r="Z60" s="161"/>
      <c r="AA60" s="161"/>
      <c r="AB60" s="161"/>
      <c r="AC60" s="161"/>
      <c r="AD60" s="161"/>
      <c r="AE60" s="161"/>
      <c r="AF60" s="161"/>
    </row>
    <row r="61" spans="1:32">
      <c r="A61" s="170"/>
      <c r="B61" s="170"/>
      <c r="C61" s="170"/>
      <c r="D61" s="170"/>
      <c r="E61" s="170"/>
      <c r="F61" s="170"/>
      <c r="J61" s="170"/>
      <c r="K61" s="170"/>
      <c r="L61" s="170"/>
      <c r="M61" s="170"/>
      <c r="N61" s="163"/>
      <c r="O61" s="163"/>
      <c r="P61" s="163"/>
      <c r="Q61" s="163"/>
      <c r="R61" s="162"/>
      <c r="S61" s="162"/>
      <c r="T61" s="162"/>
      <c r="U61" s="162"/>
      <c r="V61" s="162"/>
      <c r="W61" s="161"/>
      <c r="X61" s="161"/>
      <c r="Y61" s="161"/>
      <c r="Z61" s="161"/>
      <c r="AA61" s="161"/>
      <c r="AB61" s="161"/>
      <c r="AC61" s="161"/>
      <c r="AD61" s="161"/>
      <c r="AE61" s="161"/>
      <c r="AF61" s="161"/>
    </row>
    <row r="62" spans="1:32" ht="2.25" hidden="1" customHeight="1">
      <c r="A62" s="170"/>
      <c r="B62" s="170"/>
      <c r="C62" s="170"/>
      <c r="D62" s="170"/>
      <c r="E62" s="170"/>
      <c r="F62" s="170"/>
      <c r="J62" s="170"/>
      <c r="K62" s="170"/>
      <c r="L62" s="170"/>
      <c r="M62" s="170"/>
      <c r="N62" s="164"/>
      <c r="O62" s="165"/>
      <c r="P62" s="165"/>
      <c r="Q62" s="165"/>
      <c r="R62" s="162"/>
      <c r="S62" s="162"/>
      <c r="T62" s="162">
        <v>58229</v>
      </c>
      <c r="U62" s="162"/>
      <c r="V62" s="162"/>
      <c r="W62" s="161"/>
      <c r="X62" s="161"/>
      <c r="Y62" s="161"/>
      <c r="Z62" s="161"/>
      <c r="AA62" s="161"/>
      <c r="AB62" s="161"/>
      <c r="AC62" s="161"/>
      <c r="AD62" s="161"/>
      <c r="AE62" s="161"/>
      <c r="AF62" s="161"/>
    </row>
    <row r="63" spans="1:32" ht="24.95" customHeight="1">
      <c r="A63" s="170"/>
      <c r="B63" s="170"/>
      <c r="C63" s="170"/>
      <c r="D63" s="170"/>
      <c r="E63" s="170"/>
      <c r="F63" s="170"/>
      <c r="J63" s="170"/>
      <c r="K63" s="170"/>
      <c r="L63" s="170"/>
      <c r="M63" s="170"/>
      <c r="N63" s="166"/>
      <c r="O63" s="165"/>
      <c r="P63" s="165"/>
      <c r="Q63" s="165"/>
      <c r="R63" s="162"/>
      <c r="S63" s="162"/>
      <c r="T63" s="162"/>
      <c r="U63" s="162"/>
      <c r="V63" s="162"/>
      <c r="W63" s="161"/>
      <c r="X63" s="161"/>
      <c r="Y63" s="161"/>
      <c r="Z63" s="161"/>
      <c r="AA63" s="161"/>
      <c r="AB63" s="161"/>
      <c r="AC63" s="161"/>
      <c r="AD63" s="161"/>
      <c r="AE63" s="161"/>
      <c r="AF63" s="161"/>
    </row>
    <row r="64" spans="1:32" ht="24.95" customHeight="1">
      <c r="A64" s="170"/>
      <c r="B64" s="170"/>
      <c r="C64" s="170"/>
      <c r="D64" s="170"/>
      <c r="E64" s="170"/>
      <c r="F64" s="170"/>
      <c r="J64" s="170"/>
      <c r="K64" s="170"/>
      <c r="L64" s="170"/>
      <c r="M64" s="170"/>
      <c r="N64" s="166"/>
      <c r="O64" s="165"/>
      <c r="P64" s="165"/>
      <c r="Q64" s="165"/>
      <c r="R64" s="162"/>
      <c r="S64" s="162"/>
      <c r="T64" s="167"/>
      <c r="U64" s="162"/>
      <c r="V64" s="162"/>
      <c r="W64" s="161"/>
      <c r="X64" s="161"/>
      <c r="Y64" s="161"/>
      <c r="Z64" s="161"/>
      <c r="AA64" s="161"/>
      <c r="AB64" s="161"/>
      <c r="AC64" s="161"/>
      <c r="AD64" s="161"/>
      <c r="AE64" s="161"/>
      <c r="AF64" s="161"/>
    </row>
    <row r="65" spans="1:32" ht="24.95" customHeight="1">
      <c r="A65" s="161"/>
      <c r="B65" s="161"/>
      <c r="C65" s="161"/>
      <c r="D65" s="161"/>
      <c r="E65" s="161"/>
      <c r="F65" s="161"/>
      <c r="G65" s="161"/>
      <c r="H65" s="161"/>
      <c r="I65" s="161"/>
      <c r="J65" s="161"/>
      <c r="K65" s="161"/>
      <c r="L65" s="161"/>
      <c r="M65" s="161"/>
      <c r="N65" s="168"/>
      <c r="O65" s="162"/>
      <c r="P65" s="162"/>
      <c r="Q65" s="162"/>
      <c r="R65" s="162"/>
      <c r="S65" s="162"/>
      <c r="T65" s="162"/>
      <c r="U65" s="162"/>
      <c r="V65" s="162"/>
      <c r="W65" s="161"/>
      <c r="X65" s="161"/>
      <c r="Y65" s="161"/>
      <c r="Z65" s="161"/>
      <c r="AA65" s="161"/>
      <c r="AB65" s="161"/>
      <c r="AC65" s="161"/>
      <c r="AD65" s="161"/>
      <c r="AE65" s="161"/>
      <c r="AF65" s="161"/>
    </row>
    <row r="66" spans="1:32" ht="24.95" customHeight="1">
      <c r="A66" s="161"/>
      <c r="B66" s="161"/>
      <c r="C66" s="161"/>
      <c r="D66" s="161"/>
      <c r="E66" s="161"/>
      <c r="F66" s="161"/>
      <c r="G66" s="161"/>
      <c r="H66" s="161"/>
      <c r="I66" s="161"/>
      <c r="J66" s="161"/>
      <c r="K66" s="161"/>
      <c r="L66" s="161"/>
      <c r="M66" s="161"/>
      <c r="N66" s="168"/>
      <c r="O66" s="162"/>
      <c r="P66" s="162"/>
      <c r="Q66" s="162"/>
      <c r="R66" s="162"/>
      <c r="S66" s="162"/>
      <c r="T66" s="162"/>
      <c r="U66" s="162"/>
      <c r="V66" s="162"/>
      <c r="W66" s="161"/>
      <c r="X66" s="161"/>
      <c r="Y66" s="161"/>
      <c r="Z66" s="161"/>
      <c r="AA66" s="161"/>
      <c r="AB66" s="161"/>
      <c r="AC66" s="161"/>
      <c r="AD66" s="161"/>
      <c r="AE66" s="161"/>
      <c r="AF66" s="161"/>
    </row>
    <row r="67" spans="1:32" ht="24.95" customHeight="1">
      <c r="A67" s="161"/>
      <c r="B67" s="161"/>
      <c r="C67" s="161"/>
      <c r="D67" s="161"/>
      <c r="E67" s="161"/>
      <c r="F67" s="161"/>
      <c r="G67" s="161"/>
      <c r="H67" s="161"/>
      <c r="I67" s="161"/>
      <c r="J67" s="161"/>
      <c r="K67" s="161"/>
      <c r="L67" s="161"/>
      <c r="M67" s="161"/>
      <c r="N67" s="168"/>
      <c r="O67" s="162"/>
      <c r="P67" s="162"/>
      <c r="Q67" s="162"/>
      <c r="R67" s="162"/>
      <c r="S67" s="162"/>
      <c r="T67" s="162"/>
      <c r="U67" s="162"/>
      <c r="V67" s="162"/>
      <c r="W67" s="161"/>
      <c r="X67" s="161"/>
      <c r="Y67" s="161"/>
      <c r="Z67" s="161"/>
      <c r="AA67" s="161"/>
      <c r="AB67" s="161"/>
      <c r="AC67" s="161"/>
      <c r="AD67" s="161"/>
      <c r="AE67" s="161"/>
      <c r="AF67" s="161"/>
    </row>
    <row r="68" spans="1:32" ht="24.95" customHeight="1">
      <c r="A68" s="161"/>
      <c r="B68" s="161"/>
      <c r="C68" s="161"/>
      <c r="D68" s="161"/>
      <c r="E68" s="161"/>
      <c r="F68" s="161"/>
      <c r="G68" s="161"/>
      <c r="H68" s="161"/>
      <c r="I68" s="161"/>
      <c r="J68" s="161"/>
      <c r="K68" s="161"/>
      <c r="L68" s="161"/>
      <c r="M68" s="161"/>
      <c r="N68" s="168"/>
      <c r="O68" s="162"/>
      <c r="P68" s="162"/>
      <c r="Q68" s="162"/>
      <c r="R68" s="162"/>
      <c r="S68" s="162"/>
      <c r="T68" s="162"/>
      <c r="U68" s="162"/>
      <c r="V68" s="162"/>
      <c r="W68" s="161"/>
      <c r="X68" s="161"/>
      <c r="Y68" s="161"/>
      <c r="Z68" s="161"/>
      <c r="AA68" s="161"/>
      <c r="AB68" s="161"/>
      <c r="AC68" s="161"/>
      <c r="AD68" s="161"/>
      <c r="AE68" s="161"/>
      <c r="AF68" s="161"/>
    </row>
    <row r="69" spans="1:32" ht="24.95" customHeight="1">
      <c r="A69" s="166"/>
      <c r="B69" s="166"/>
      <c r="C69" s="166"/>
      <c r="D69" s="166"/>
      <c r="E69" s="166"/>
      <c r="F69" s="166"/>
      <c r="G69" s="166"/>
      <c r="H69" s="166"/>
      <c r="I69" s="166"/>
      <c r="J69" s="166"/>
      <c r="K69" s="166"/>
      <c r="L69" s="166"/>
      <c r="M69" s="166"/>
      <c r="N69" s="168"/>
      <c r="O69" s="162"/>
      <c r="P69" s="162"/>
      <c r="Q69" s="162"/>
      <c r="R69" s="162"/>
      <c r="S69" s="162"/>
      <c r="T69" s="162"/>
      <c r="U69" s="162"/>
      <c r="V69" s="162"/>
      <c r="W69" s="161"/>
      <c r="X69" s="161"/>
      <c r="Y69" s="161"/>
      <c r="Z69" s="161"/>
      <c r="AA69" s="161"/>
      <c r="AB69" s="161"/>
      <c r="AC69" s="161"/>
      <c r="AD69" s="161"/>
      <c r="AE69" s="161"/>
      <c r="AF69" s="161"/>
    </row>
    <row r="70" spans="1:32" ht="24.95" customHeight="1">
      <c r="A70" s="166"/>
      <c r="B70" s="166"/>
      <c r="C70" s="166"/>
      <c r="D70" s="166"/>
      <c r="E70" s="166"/>
      <c r="F70" s="166"/>
      <c r="G70" s="166"/>
      <c r="H70" s="166"/>
      <c r="I70" s="166"/>
      <c r="J70" s="166"/>
      <c r="K70" s="166"/>
      <c r="L70" s="166"/>
      <c r="M70" s="166"/>
      <c r="N70" s="168"/>
      <c r="O70" s="162"/>
      <c r="P70" s="162"/>
      <c r="Q70" s="162"/>
      <c r="R70" s="162"/>
      <c r="S70" s="162"/>
      <c r="T70" s="162"/>
      <c r="U70" s="162"/>
      <c r="V70" s="162"/>
      <c r="W70" s="161"/>
      <c r="X70" s="161"/>
      <c r="Y70" s="161"/>
      <c r="Z70" s="161"/>
      <c r="AA70" s="161"/>
      <c r="AB70" s="161"/>
      <c r="AC70" s="161"/>
      <c r="AD70" s="161"/>
      <c r="AE70" s="161"/>
      <c r="AF70" s="161"/>
    </row>
    <row r="71" spans="1:32" ht="24.95" customHeight="1">
      <c r="A71" s="166"/>
      <c r="B71" s="166"/>
      <c r="C71" s="166"/>
      <c r="D71" s="166"/>
      <c r="E71" s="166"/>
      <c r="F71" s="166"/>
      <c r="G71" s="166"/>
      <c r="H71" s="166"/>
      <c r="I71" s="166"/>
      <c r="J71" s="166"/>
      <c r="K71" s="166"/>
      <c r="L71" s="166"/>
      <c r="M71" s="166"/>
      <c r="N71" s="168"/>
      <c r="O71" s="162"/>
      <c r="P71" s="162"/>
      <c r="Q71" s="162"/>
      <c r="R71" s="162"/>
      <c r="S71" s="162"/>
      <c r="T71" s="162"/>
      <c r="U71" s="162"/>
      <c r="V71" s="162"/>
      <c r="W71" s="161"/>
      <c r="X71" s="161"/>
      <c r="Y71" s="161"/>
      <c r="Z71" s="161"/>
      <c r="AA71" s="161"/>
      <c r="AB71" s="161"/>
      <c r="AC71" s="161"/>
      <c r="AD71" s="161"/>
      <c r="AE71" s="161"/>
      <c r="AF71" s="161"/>
    </row>
    <row r="72" spans="1:32" ht="15.75">
      <c r="A72" s="168"/>
      <c r="B72" s="168"/>
      <c r="C72" s="168"/>
      <c r="D72" s="168"/>
      <c r="E72" s="168"/>
      <c r="F72" s="168"/>
      <c r="G72" s="168"/>
      <c r="H72" s="168"/>
      <c r="I72" s="168"/>
      <c r="J72" s="168"/>
      <c r="K72" s="168"/>
      <c r="L72" s="168"/>
      <c r="M72" s="168"/>
      <c r="N72" s="168"/>
      <c r="O72" s="162"/>
      <c r="P72" s="162"/>
      <c r="Q72" s="162"/>
      <c r="R72" s="162"/>
      <c r="S72" s="162"/>
      <c r="T72" s="162"/>
      <c r="U72" s="162"/>
      <c r="V72" s="162"/>
      <c r="W72" s="161"/>
      <c r="X72" s="161"/>
      <c r="Y72" s="161"/>
      <c r="Z72" s="161"/>
      <c r="AA72" s="161"/>
      <c r="AB72" s="161"/>
      <c r="AC72" s="161"/>
      <c r="AD72" s="161"/>
      <c r="AE72" s="161"/>
      <c r="AF72" s="161"/>
    </row>
    <row r="73" spans="1:32" ht="15.75">
      <c r="A73" s="166"/>
      <c r="B73" s="166"/>
      <c r="C73" s="166"/>
      <c r="D73" s="166"/>
      <c r="E73" s="166"/>
      <c r="F73" s="166"/>
      <c r="G73" s="166"/>
      <c r="H73" s="166"/>
      <c r="I73" s="166"/>
      <c r="J73" s="166"/>
      <c r="K73" s="166"/>
      <c r="L73" s="166"/>
      <c r="M73" s="168"/>
      <c r="N73" s="168"/>
      <c r="O73" s="162"/>
      <c r="P73" s="162"/>
      <c r="Q73" s="162"/>
      <c r="R73" s="162"/>
      <c r="S73" s="162"/>
      <c r="T73" s="162"/>
      <c r="U73" s="162"/>
      <c r="V73" s="162"/>
      <c r="W73" s="161"/>
      <c r="X73" s="161"/>
      <c r="Y73" s="161"/>
      <c r="Z73" s="161"/>
      <c r="AA73" s="161"/>
      <c r="AB73" s="161"/>
      <c r="AC73" s="161"/>
      <c r="AD73" s="161"/>
      <c r="AE73" s="161"/>
      <c r="AF73" s="161"/>
    </row>
    <row r="74" spans="1:32">
      <c r="A74" s="163"/>
      <c r="B74" s="163"/>
      <c r="C74" s="163"/>
      <c r="D74" s="163"/>
      <c r="E74" s="163"/>
      <c r="F74" s="163"/>
      <c r="G74" s="163"/>
      <c r="H74" s="163"/>
      <c r="I74" s="163"/>
      <c r="J74" s="163"/>
      <c r="K74" s="163"/>
      <c r="L74" s="163"/>
      <c r="M74" s="163"/>
      <c r="N74" s="163"/>
      <c r="O74" s="162"/>
      <c r="P74" s="162"/>
      <c r="Q74" s="162"/>
      <c r="R74" s="162"/>
      <c r="S74" s="162"/>
      <c r="T74" s="162"/>
      <c r="U74" s="162"/>
      <c r="V74" s="162"/>
      <c r="W74" s="161"/>
      <c r="X74" s="161"/>
      <c r="Y74" s="161"/>
      <c r="Z74" s="161"/>
      <c r="AA74" s="161"/>
      <c r="AB74" s="161"/>
      <c r="AC74" s="161"/>
      <c r="AD74" s="161"/>
      <c r="AE74" s="161"/>
      <c r="AF74" s="161"/>
    </row>
    <row r="75" spans="1:32">
      <c r="A75" s="163"/>
      <c r="B75" s="163"/>
      <c r="C75" s="163"/>
      <c r="D75" s="163"/>
      <c r="E75" s="163"/>
      <c r="F75" s="163"/>
      <c r="G75" s="163"/>
      <c r="H75" s="163"/>
      <c r="I75" s="163"/>
      <c r="J75" s="163"/>
      <c r="K75" s="163"/>
      <c r="L75" s="163"/>
      <c r="M75" s="163"/>
      <c r="N75" s="163"/>
      <c r="O75" s="162"/>
      <c r="P75" s="162"/>
      <c r="Q75" s="162"/>
      <c r="R75" s="162"/>
      <c r="S75" s="170"/>
      <c r="T75" s="162"/>
      <c r="U75" s="162"/>
      <c r="V75" s="162"/>
      <c r="W75" s="161"/>
      <c r="X75" s="161"/>
      <c r="Y75" s="161"/>
      <c r="Z75" s="161"/>
      <c r="AA75" s="161"/>
      <c r="AB75" s="161"/>
      <c r="AC75" s="161"/>
      <c r="AD75" s="161"/>
      <c r="AE75" s="161"/>
      <c r="AF75" s="161"/>
    </row>
    <row r="76" spans="1:32">
      <c r="A76" s="169"/>
      <c r="B76" s="169"/>
      <c r="C76" s="169"/>
      <c r="D76" s="169"/>
      <c r="E76" s="169"/>
      <c r="F76" s="169"/>
      <c r="G76" s="169"/>
      <c r="H76" s="169"/>
      <c r="I76" s="169"/>
      <c r="J76" s="169"/>
      <c r="K76" s="169"/>
      <c r="L76" s="169"/>
      <c r="M76" s="169"/>
      <c r="N76" s="169"/>
      <c r="O76" s="170"/>
      <c r="P76" s="170"/>
      <c r="Q76" s="170"/>
      <c r="R76" s="170"/>
      <c r="S76" s="170"/>
      <c r="T76" s="170"/>
      <c r="U76" s="170"/>
      <c r="V76" s="170"/>
      <c r="W76" s="161"/>
      <c r="X76" s="161"/>
      <c r="Y76" s="161"/>
      <c r="Z76" s="161"/>
      <c r="AA76" s="161"/>
      <c r="AB76" s="161"/>
      <c r="AC76" s="161"/>
      <c r="AD76" s="161"/>
      <c r="AE76" s="161"/>
      <c r="AF76" s="161"/>
    </row>
    <row r="77" spans="1:32">
      <c r="A77" s="169"/>
      <c r="B77" s="169"/>
      <c r="C77" s="169"/>
      <c r="D77" s="169"/>
      <c r="E77" s="169"/>
      <c r="F77" s="169"/>
      <c r="G77" s="169"/>
      <c r="H77" s="169"/>
      <c r="I77" s="169"/>
      <c r="J77" s="169"/>
      <c r="K77" s="169"/>
      <c r="L77" s="169"/>
      <c r="M77" s="169"/>
      <c r="N77" s="169"/>
      <c r="O77" s="170"/>
      <c r="P77" s="170"/>
      <c r="Q77" s="170"/>
      <c r="R77" s="170"/>
      <c r="S77" s="170"/>
      <c r="T77" s="170"/>
      <c r="U77" s="170"/>
      <c r="V77" s="170"/>
      <c r="W77" s="161"/>
      <c r="X77" s="161"/>
      <c r="Y77" s="161"/>
      <c r="Z77" s="161"/>
      <c r="AA77" s="161"/>
      <c r="AB77" s="161"/>
      <c r="AC77" s="161"/>
      <c r="AD77" s="161"/>
      <c r="AE77" s="161"/>
      <c r="AF77" s="161"/>
    </row>
    <row r="78" spans="1:32">
      <c r="A78" s="169"/>
      <c r="B78" s="169"/>
      <c r="C78" s="169"/>
      <c r="D78" s="169"/>
      <c r="E78" s="169"/>
      <c r="F78" s="169"/>
      <c r="G78" s="169"/>
      <c r="H78" s="169"/>
      <c r="I78" s="169"/>
      <c r="J78" s="169"/>
      <c r="K78" s="169"/>
      <c r="L78" s="169"/>
      <c r="M78" s="169"/>
      <c r="N78" s="169"/>
      <c r="O78" s="170"/>
      <c r="P78" s="170"/>
      <c r="Q78" s="170"/>
      <c r="R78" s="170"/>
      <c r="S78" s="170"/>
      <c r="T78" s="170"/>
      <c r="U78" s="170"/>
      <c r="V78" s="170"/>
      <c r="W78" s="161"/>
      <c r="X78" s="161"/>
      <c r="Y78" s="161"/>
      <c r="Z78" s="161"/>
      <c r="AA78" s="161"/>
      <c r="AB78" s="161"/>
      <c r="AC78" s="161"/>
      <c r="AD78" s="161"/>
      <c r="AE78" s="161"/>
      <c r="AF78" s="161"/>
    </row>
    <row r="79" spans="1:32">
      <c r="A79" s="169"/>
      <c r="B79" s="169"/>
      <c r="C79" s="169"/>
      <c r="D79" s="169"/>
      <c r="E79" s="169"/>
      <c r="F79" s="169"/>
      <c r="G79" s="169"/>
      <c r="H79" s="169"/>
      <c r="I79" s="169"/>
      <c r="J79" s="169"/>
      <c r="K79" s="169"/>
      <c r="L79" s="169"/>
      <c r="M79" s="169"/>
      <c r="N79" s="169"/>
      <c r="O79" s="170"/>
      <c r="P79" s="170"/>
      <c r="Q79" s="170"/>
      <c r="R79" s="170"/>
      <c r="S79" s="170"/>
      <c r="T79" s="170"/>
      <c r="U79" s="170"/>
      <c r="V79" s="170"/>
      <c r="W79" s="161"/>
      <c r="X79" s="161"/>
      <c r="Y79" s="161"/>
      <c r="Z79" s="161"/>
      <c r="AA79" s="161"/>
      <c r="AB79" s="161"/>
      <c r="AC79" s="161"/>
      <c r="AD79" s="161"/>
      <c r="AE79" s="161"/>
      <c r="AF79" s="161"/>
    </row>
    <row r="80" spans="1:32">
      <c r="A80" s="169"/>
      <c r="B80" s="169"/>
      <c r="C80" s="169"/>
      <c r="D80" s="169"/>
      <c r="E80" s="169"/>
      <c r="F80" s="169"/>
      <c r="G80" s="169"/>
      <c r="H80" s="169"/>
      <c r="I80" s="169"/>
      <c r="J80" s="169"/>
      <c r="K80" s="169"/>
      <c r="L80" s="169"/>
      <c r="M80" s="169"/>
      <c r="N80" s="169"/>
      <c r="O80" s="170"/>
      <c r="P80" s="170"/>
      <c r="Q80" s="170"/>
      <c r="R80" s="170"/>
      <c r="S80" s="170"/>
      <c r="T80" s="170"/>
      <c r="U80" s="170"/>
      <c r="V80" s="170"/>
      <c r="W80" s="161"/>
      <c r="X80" s="161"/>
      <c r="Y80" s="161"/>
      <c r="Z80" s="161"/>
      <c r="AA80" s="161"/>
      <c r="AB80" s="161"/>
      <c r="AC80" s="161"/>
      <c r="AD80" s="161"/>
      <c r="AE80" s="161"/>
      <c r="AF80" s="161"/>
    </row>
    <row r="81" spans="1:32">
      <c r="A81" s="169"/>
      <c r="B81" s="169"/>
      <c r="C81" s="169"/>
      <c r="D81" s="169"/>
      <c r="E81" s="169"/>
      <c r="F81" s="169"/>
      <c r="G81" s="169"/>
      <c r="H81" s="169"/>
      <c r="I81" s="169"/>
      <c r="J81" s="169"/>
      <c r="K81" s="169"/>
      <c r="L81" s="169"/>
      <c r="M81" s="169"/>
      <c r="N81" s="169"/>
      <c r="O81" s="170"/>
      <c r="P81" s="170"/>
      <c r="Q81" s="170"/>
      <c r="R81" s="170"/>
      <c r="S81" s="170"/>
      <c r="T81" s="170"/>
      <c r="U81" s="170"/>
      <c r="V81" s="170"/>
      <c r="W81" s="161"/>
      <c r="X81" s="161"/>
      <c r="Y81" s="161"/>
      <c r="Z81" s="161"/>
      <c r="AA81" s="161"/>
      <c r="AB81" s="161"/>
      <c r="AC81" s="161"/>
      <c r="AD81" s="161"/>
      <c r="AE81" s="161"/>
      <c r="AF81" s="161"/>
    </row>
    <row r="82" spans="1:32">
      <c r="A82" s="169"/>
      <c r="B82" s="169"/>
      <c r="C82" s="169"/>
      <c r="D82" s="169"/>
      <c r="E82" s="169"/>
      <c r="F82" s="169"/>
      <c r="G82" s="169"/>
      <c r="H82" s="169"/>
      <c r="I82" s="169"/>
      <c r="J82" s="169"/>
      <c r="K82" s="169"/>
      <c r="L82" s="169"/>
      <c r="M82" s="169"/>
      <c r="N82" s="169"/>
      <c r="O82" s="170"/>
      <c r="P82" s="170"/>
      <c r="Q82" s="170"/>
      <c r="R82" s="170"/>
      <c r="S82" s="170"/>
      <c r="T82" s="170"/>
      <c r="U82" s="170"/>
      <c r="V82" s="170"/>
      <c r="W82" s="161"/>
      <c r="X82" s="161"/>
      <c r="Y82" s="161"/>
      <c r="Z82" s="161"/>
      <c r="AA82" s="161"/>
      <c r="AB82" s="161"/>
      <c r="AC82" s="161"/>
      <c r="AD82" s="161"/>
      <c r="AE82" s="161"/>
      <c r="AF82" s="161"/>
    </row>
    <row r="83" spans="1:32">
      <c r="A83" s="169"/>
      <c r="B83" s="169"/>
      <c r="C83" s="169"/>
      <c r="D83" s="169"/>
      <c r="E83" s="169"/>
      <c r="F83" s="169"/>
      <c r="G83" s="169"/>
      <c r="H83" s="169"/>
      <c r="I83" s="169"/>
      <c r="J83" s="169"/>
      <c r="K83" s="169"/>
      <c r="L83" s="169"/>
      <c r="M83" s="169"/>
      <c r="N83" s="169"/>
      <c r="O83" s="170"/>
      <c r="P83" s="170"/>
      <c r="Q83" s="170"/>
      <c r="R83" s="170"/>
      <c r="S83" s="170"/>
      <c r="T83" s="170"/>
      <c r="U83" s="170"/>
      <c r="V83" s="170"/>
      <c r="W83" s="161"/>
      <c r="X83" s="161"/>
      <c r="Y83" s="161"/>
      <c r="Z83" s="161"/>
      <c r="AA83" s="161"/>
      <c r="AB83" s="161"/>
      <c r="AC83" s="161"/>
      <c r="AD83" s="161"/>
      <c r="AE83" s="161"/>
      <c r="AF83" s="161"/>
    </row>
    <row r="84" spans="1:32">
      <c r="A84" s="169"/>
      <c r="B84" s="169"/>
      <c r="C84" s="169"/>
      <c r="D84" s="169"/>
      <c r="E84" s="169"/>
      <c r="F84" s="169"/>
      <c r="G84" s="169"/>
      <c r="H84" s="169"/>
      <c r="I84" s="169"/>
      <c r="J84" s="169"/>
      <c r="K84" s="169"/>
      <c r="L84" s="169"/>
      <c r="M84" s="169"/>
      <c r="N84" s="169"/>
      <c r="O84" s="170"/>
      <c r="P84" s="170"/>
      <c r="Q84" s="170"/>
      <c r="R84" s="170"/>
      <c r="S84" s="170"/>
      <c r="T84" s="170"/>
      <c r="U84" s="170"/>
      <c r="V84" s="170"/>
      <c r="W84" s="161"/>
      <c r="X84" s="161"/>
      <c r="Y84" s="161"/>
      <c r="Z84" s="161"/>
      <c r="AA84" s="161"/>
      <c r="AB84" s="161"/>
      <c r="AC84" s="161"/>
      <c r="AD84" s="161"/>
      <c r="AE84" s="161"/>
      <c r="AF84" s="161"/>
    </row>
    <row r="85" spans="1:32">
      <c r="A85" s="169"/>
      <c r="B85" s="169"/>
      <c r="C85" s="169"/>
      <c r="D85" s="169"/>
      <c r="E85" s="169"/>
      <c r="F85" s="169"/>
      <c r="G85" s="169"/>
      <c r="H85" s="169"/>
      <c r="I85" s="169"/>
      <c r="J85" s="169"/>
      <c r="K85" s="169"/>
      <c r="L85" s="169"/>
      <c r="M85" s="169"/>
      <c r="N85" s="169"/>
      <c r="O85" s="170"/>
      <c r="P85" s="170"/>
      <c r="Q85" s="170"/>
      <c r="R85" s="170"/>
      <c r="S85" s="170"/>
      <c r="T85" s="170"/>
      <c r="U85" s="170"/>
      <c r="V85" s="170"/>
      <c r="W85" s="161"/>
      <c r="X85" s="161"/>
      <c r="Y85" s="161"/>
      <c r="Z85" s="161"/>
      <c r="AA85" s="161"/>
      <c r="AB85" s="161"/>
      <c r="AC85" s="161"/>
      <c r="AD85" s="161"/>
      <c r="AE85" s="161"/>
      <c r="AF85" s="161"/>
    </row>
    <row r="86" spans="1:32">
      <c r="A86" s="169"/>
      <c r="B86" s="169"/>
      <c r="C86" s="169"/>
      <c r="D86" s="169"/>
      <c r="E86" s="169"/>
      <c r="F86" s="169"/>
      <c r="G86" s="169"/>
      <c r="H86" s="169"/>
      <c r="I86" s="169"/>
      <c r="J86" s="169"/>
      <c r="K86" s="169"/>
      <c r="L86" s="169"/>
      <c r="M86" s="169"/>
      <c r="N86" s="169"/>
      <c r="O86" s="170"/>
      <c r="P86" s="170"/>
      <c r="Q86" s="170"/>
      <c r="R86" s="170"/>
      <c r="S86" s="170"/>
      <c r="T86" s="170"/>
      <c r="U86" s="170"/>
      <c r="V86" s="170"/>
      <c r="W86" s="161"/>
      <c r="X86" s="161"/>
      <c r="Y86" s="161"/>
      <c r="Z86" s="161"/>
      <c r="AA86" s="161"/>
      <c r="AB86" s="161"/>
      <c r="AC86" s="161"/>
      <c r="AD86" s="161"/>
      <c r="AE86" s="161"/>
      <c r="AF86" s="161"/>
    </row>
    <row r="87" spans="1:32">
      <c r="A87" s="169"/>
      <c r="B87" s="169"/>
      <c r="C87" s="169"/>
      <c r="D87" s="169"/>
      <c r="E87" s="169"/>
      <c r="F87" s="169"/>
      <c r="G87" s="169"/>
      <c r="H87" s="169"/>
      <c r="I87" s="169"/>
      <c r="J87" s="169"/>
      <c r="K87" s="169"/>
      <c r="L87" s="169"/>
      <c r="M87" s="169"/>
      <c r="N87" s="169"/>
      <c r="O87" s="170"/>
      <c r="P87" s="170"/>
      <c r="Q87" s="170"/>
      <c r="R87" s="170"/>
      <c r="S87" s="170"/>
      <c r="T87" s="170"/>
      <c r="U87" s="170"/>
      <c r="V87" s="170"/>
      <c r="W87" s="161"/>
      <c r="X87" s="161"/>
      <c r="Y87" s="161"/>
      <c r="Z87" s="161"/>
      <c r="AA87" s="161"/>
      <c r="AB87" s="161"/>
      <c r="AC87" s="161"/>
      <c r="AD87" s="161"/>
      <c r="AE87" s="161"/>
      <c r="AF87" s="161"/>
    </row>
    <row r="88" spans="1:32">
      <c r="A88" s="169"/>
      <c r="B88" s="169"/>
      <c r="C88" s="169"/>
      <c r="D88" s="169"/>
      <c r="E88" s="169"/>
      <c r="F88" s="169"/>
      <c r="G88" s="169"/>
      <c r="H88" s="169"/>
      <c r="I88" s="169"/>
      <c r="J88" s="169"/>
      <c r="K88" s="169"/>
      <c r="L88" s="169"/>
      <c r="M88" s="169"/>
      <c r="N88" s="169"/>
      <c r="O88" s="170"/>
      <c r="P88" s="170"/>
      <c r="Q88" s="170"/>
      <c r="R88" s="170"/>
      <c r="S88" s="170"/>
      <c r="T88" s="170"/>
      <c r="U88" s="170"/>
      <c r="V88" s="170"/>
      <c r="W88" s="161"/>
      <c r="X88" s="161"/>
      <c r="Y88" s="161"/>
      <c r="Z88" s="161"/>
      <c r="AA88" s="161"/>
      <c r="AB88" s="161"/>
      <c r="AC88" s="161"/>
      <c r="AD88" s="161"/>
      <c r="AE88" s="161"/>
      <c r="AF88" s="161"/>
    </row>
    <row r="89" spans="1:32">
      <c r="A89" s="169"/>
      <c r="B89" s="169"/>
      <c r="C89" s="169"/>
      <c r="D89" s="169"/>
      <c r="E89" s="169"/>
      <c r="F89" s="169"/>
      <c r="G89" s="169"/>
      <c r="H89" s="169"/>
      <c r="I89" s="169"/>
      <c r="J89" s="169"/>
      <c r="K89" s="169"/>
      <c r="L89" s="169"/>
      <c r="M89" s="169"/>
      <c r="N89" s="169"/>
      <c r="O89" s="170"/>
      <c r="P89" s="170"/>
      <c r="Q89" s="170"/>
      <c r="R89" s="170"/>
      <c r="S89" s="170"/>
      <c r="T89" s="170"/>
      <c r="U89" s="170"/>
      <c r="V89" s="170"/>
      <c r="W89" s="161"/>
      <c r="X89" s="161"/>
      <c r="Y89" s="161"/>
      <c r="Z89" s="161"/>
      <c r="AA89" s="161"/>
      <c r="AB89" s="161"/>
      <c r="AC89" s="161"/>
      <c r="AD89" s="161"/>
      <c r="AE89" s="161"/>
      <c r="AF89" s="161"/>
    </row>
    <row r="90" spans="1:32">
      <c r="A90" s="169"/>
      <c r="B90" s="169"/>
      <c r="C90" s="169"/>
      <c r="D90" s="169"/>
      <c r="E90" s="169"/>
      <c r="F90" s="169"/>
      <c r="G90" s="169"/>
      <c r="H90" s="169"/>
      <c r="I90" s="169"/>
      <c r="J90" s="169"/>
      <c r="K90" s="169"/>
      <c r="L90" s="169"/>
      <c r="M90" s="169"/>
      <c r="N90" s="169"/>
      <c r="O90" s="170"/>
      <c r="P90" s="170"/>
      <c r="Q90" s="170"/>
      <c r="R90" s="170"/>
      <c r="S90" s="170"/>
      <c r="T90" s="170"/>
      <c r="U90" s="170"/>
      <c r="V90" s="170"/>
      <c r="W90" s="161"/>
      <c r="X90" s="161"/>
      <c r="Y90" s="161"/>
      <c r="Z90" s="161"/>
      <c r="AA90" s="161"/>
      <c r="AB90" s="161"/>
      <c r="AC90" s="161"/>
      <c r="AD90" s="161"/>
      <c r="AE90" s="161"/>
      <c r="AF90" s="161"/>
    </row>
    <row r="91" spans="1:32">
      <c r="A91" s="169"/>
      <c r="B91" s="169"/>
      <c r="C91" s="169"/>
      <c r="D91" s="169"/>
      <c r="E91" s="169"/>
      <c r="F91" s="169"/>
      <c r="G91" s="169"/>
      <c r="H91" s="169"/>
      <c r="I91" s="169"/>
      <c r="J91" s="169"/>
      <c r="K91" s="169"/>
      <c r="L91" s="169"/>
      <c r="M91" s="169"/>
      <c r="N91" s="169"/>
      <c r="O91" s="170"/>
      <c r="P91" s="170"/>
      <c r="Q91" s="170"/>
      <c r="R91" s="170"/>
      <c r="S91" s="170"/>
      <c r="T91" s="170"/>
      <c r="U91" s="170"/>
      <c r="V91" s="170"/>
      <c r="W91" s="161"/>
      <c r="X91" s="161"/>
      <c r="Y91" s="161"/>
      <c r="Z91" s="161"/>
      <c r="AA91" s="161"/>
      <c r="AB91" s="161"/>
      <c r="AC91" s="161"/>
      <c r="AD91" s="161"/>
      <c r="AE91" s="161"/>
      <c r="AF91" s="161"/>
    </row>
    <row r="92" spans="1:32">
      <c r="A92" s="169"/>
      <c r="B92" s="169"/>
      <c r="C92" s="169"/>
      <c r="D92" s="169"/>
      <c r="E92" s="169"/>
      <c r="F92" s="169"/>
      <c r="G92" s="169"/>
      <c r="H92" s="169"/>
      <c r="I92" s="169"/>
      <c r="J92" s="169"/>
      <c r="K92" s="169"/>
      <c r="L92" s="169"/>
      <c r="M92" s="169"/>
      <c r="N92" s="169"/>
      <c r="O92" s="170"/>
      <c r="P92" s="170"/>
      <c r="Q92" s="170"/>
      <c r="R92" s="170"/>
      <c r="S92" s="170"/>
      <c r="T92" s="170"/>
      <c r="U92" s="170"/>
      <c r="V92" s="170"/>
      <c r="W92" s="161"/>
      <c r="X92" s="161"/>
      <c r="Y92" s="161"/>
      <c r="Z92" s="161"/>
      <c r="AA92" s="161"/>
      <c r="AB92" s="161"/>
      <c r="AC92" s="161"/>
      <c r="AD92" s="161"/>
      <c r="AE92" s="161"/>
      <c r="AF92" s="161"/>
    </row>
    <row r="93" spans="1:32">
      <c r="A93" s="169"/>
      <c r="B93" s="169"/>
      <c r="C93" s="169"/>
      <c r="D93" s="169"/>
      <c r="E93" s="169"/>
      <c r="F93" s="169"/>
      <c r="G93" s="169"/>
      <c r="H93" s="169"/>
      <c r="I93" s="169"/>
      <c r="J93" s="169"/>
      <c r="K93" s="169"/>
      <c r="L93" s="169"/>
      <c r="M93" s="169"/>
      <c r="N93" s="169"/>
      <c r="O93" s="170"/>
      <c r="P93" s="170"/>
      <c r="Q93" s="170"/>
      <c r="R93" s="170"/>
      <c r="S93" s="170"/>
      <c r="T93" s="170"/>
      <c r="U93" s="170"/>
      <c r="V93" s="170"/>
      <c r="W93" s="161"/>
      <c r="X93" s="161"/>
      <c r="Y93" s="161"/>
      <c r="Z93" s="161"/>
      <c r="AA93" s="161"/>
      <c r="AB93" s="161"/>
      <c r="AC93" s="161"/>
      <c r="AD93" s="161"/>
      <c r="AE93" s="161"/>
      <c r="AF93" s="161"/>
    </row>
    <row r="94" spans="1:32">
      <c r="A94" s="169"/>
      <c r="B94" s="169"/>
      <c r="C94" s="169"/>
      <c r="D94" s="169"/>
      <c r="E94" s="169"/>
      <c r="F94" s="169"/>
      <c r="G94" s="169"/>
      <c r="H94" s="169"/>
      <c r="I94" s="169"/>
      <c r="J94" s="169"/>
      <c r="K94" s="169"/>
      <c r="L94" s="169"/>
      <c r="M94" s="169"/>
      <c r="N94" s="169"/>
      <c r="O94" s="170"/>
      <c r="P94" s="170"/>
      <c r="Q94" s="170"/>
      <c r="R94" s="170"/>
      <c r="S94" s="170"/>
      <c r="T94" s="170"/>
      <c r="U94" s="170"/>
      <c r="V94" s="170"/>
      <c r="W94" s="161"/>
      <c r="X94" s="161"/>
      <c r="Y94" s="161"/>
      <c r="Z94" s="161"/>
      <c r="AA94" s="161"/>
      <c r="AB94" s="161"/>
      <c r="AC94" s="161"/>
      <c r="AD94" s="161"/>
      <c r="AE94" s="161"/>
      <c r="AF94" s="161"/>
    </row>
    <row r="95" spans="1:32">
      <c r="A95" s="169"/>
      <c r="B95" s="169"/>
      <c r="C95" s="169"/>
      <c r="D95" s="169"/>
      <c r="E95" s="169"/>
      <c r="F95" s="169"/>
      <c r="G95" s="169"/>
      <c r="H95" s="169"/>
      <c r="I95" s="169"/>
      <c r="J95" s="169"/>
      <c r="K95" s="169"/>
      <c r="L95" s="169"/>
      <c r="M95" s="169"/>
      <c r="N95" s="169"/>
      <c r="O95" s="170"/>
      <c r="P95" s="170"/>
      <c r="Q95" s="170"/>
      <c r="R95" s="170"/>
      <c r="S95" s="170"/>
      <c r="T95" s="170"/>
      <c r="U95" s="170"/>
      <c r="V95" s="170"/>
      <c r="W95" s="161"/>
      <c r="X95" s="161"/>
      <c r="Y95" s="161"/>
      <c r="Z95" s="161"/>
      <c r="AA95" s="161"/>
      <c r="AB95" s="161"/>
      <c r="AC95" s="161"/>
      <c r="AD95" s="161"/>
      <c r="AE95" s="161"/>
      <c r="AF95" s="161"/>
    </row>
    <row r="96" spans="1:32">
      <c r="A96" s="169"/>
      <c r="B96" s="169"/>
      <c r="C96" s="169"/>
      <c r="D96" s="169"/>
      <c r="E96" s="169"/>
      <c r="F96" s="169"/>
      <c r="G96" s="169"/>
      <c r="H96" s="169"/>
      <c r="I96" s="169"/>
      <c r="J96" s="169"/>
      <c r="K96" s="169"/>
      <c r="L96" s="169"/>
      <c r="M96" s="169"/>
      <c r="N96" s="169"/>
      <c r="O96" s="170"/>
      <c r="P96" s="170"/>
      <c r="Q96" s="170"/>
      <c r="R96" s="170"/>
      <c r="S96" s="170"/>
      <c r="T96" s="170"/>
      <c r="U96" s="170"/>
      <c r="V96" s="170"/>
      <c r="W96" s="161"/>
      <c r="X96" s="161"/>
      <c r="Y96" s="161"/>
      <c r="Z96" s="161"/>
      <c r="AA96" s="161"/>
      <c r="AB96" s="161"/>
      <c r="AC96" s="161"/>
      <c r="AD96" s="161"/>
      <c r="AE96" s="161"/>
      <c r="AF96" s="161"/>
    </row>
    <row r="97" spans="1:32">
      <c r="A97" s="169"/>
      <c r="B97" s="169"/>
      <c r="C97" s="169"/>
      <c r="D97" s="169"/>
      <c r="E97" s="169"/>
      <c r="F97" s="169"/>
      <c r="G97" s="169"/>
      <c r="H97" s="169"/>
      <c r="I97" s="169"/>
      <c r="J97" s="169"/>
      <c r="K97" s="169"/>
      <c r="L97" s="169"/>
      <c r="M97" s="169"/>
      <c r="N97" s="169"/>
      <c r="O97" s="170"/>
      <c r="P97" s="170"/>
      <c r="Q97" s="170"/>
      <c r="R97" s="170"/>
      <c r="S97" s="170"/>
      <c r="T97" s="170"/>
      <c r="U97" s="170"/>
      <c r="V97" s="170"/>
      <c r="W97" s="161"/>
      <c r="X97" s="161"/>
      <c r="Y97" s="161"/>
      <c r="Z97" s="161"/>
      <c r="AA97" s="161"/>
      <c r="AB97" s="161"/>
      <c r="AC97" s="161"/>
      <c r="AD97" s="161"/>
      <c r="AE97" s="161"/>
      <c r="AF97" s="161"/>
    </row>
    <row r="98" spans="1:32">
      <c r="A98" s="169"/>
      <c r="B98" s="169"/>
      <c r="C98" s="169"/>
      <c r="D98" s="169"/>
      <c r="E98" s="169"/>
      <c r="F98" s="169"/>
      <c r="G98" s="169"/>
      <c r="H98" s="169"/>
      <c r="I98" s="169"/>
      <c r="J98" s="169"/>
      <c r="K98" s="169"/>
      <c r="L98" s="169"/>
      <c r="M98" s="169"/>
      <c r="N98" s="169"/>
      <c r="O98" s="170"/>
      <c r="P98" s="170"/>
      <c r="Q98" s="170"/>
      <c r="R98" s="170"/>
      <c r="S98" s="170"/>
      <c r="T98" s="170"/>
      <c r="U98" s="170"/>
      <c r="V98" s="170"/>
      <c r="W98" s="161"/>
      <c r="X98" s="161"/>
      <c r="Y98" s="161"/>
      <c r="Z98" s="161"/>
      <c r="AA98" s="161"/>
      <c r="AB98" s="161"/>
      <c r="AC98" s="161"/>
      <c r="AD98" s="161"/>
      <c r="AE98" s="161"/>
      <c r="AF98" s="161"/>
    </row>
    <row r="99" spans="1:32">
      <c r="A99" s="169"/>
      <c r="B99" s="169"/>
      <c r="C99" s="169"/>
      <c r="D99" s="169"/>
      <c r="E99" s="169"/>
      <c r="F99" s="169"/>
      <c r="G99" s="169"/>
      <c r="H99" s="169"/>
      <c r="I99" s="169"/>
      <c r="J99" s="169"/>
      <c r="K99" s="169"/>
      <c r="L99" s="169"/>
      <c r="M99" s="169"/>
      <c r="N99" s="169"/>
      <c r="O99" s="170"/>
      <c r="P99" s="170"/>
      <c r="Q99" s="170"/>
      <c r="R99" s="170"/>
      <c r="S99" s="170"/>
      <c r="T99" s="170"/>
      <c r="U99" s="170"/>
      <c r="V99" s="170"/>
      <c r="W99" s="161"/>
      <c r="X99" s="161"/>
      <c r="Y99" s="161"/>
      <c r="Z99" s="161"/>
      <c r="AA99" s="161"/>
      <c r="AB99" s="161"/>
      <c r="AC99" s="161"/>
      <c r="AD99" s="161"/>
      <c r="AE99" s="161"/>
      <c r="AF99" s="161"/>
    </row>
    <row r="100" spans="1:32">
      <c r="A100" s="169"/>
      <c r="B100" s="169"/>
      <c r="C100" s="169"/>
      <c r="D100" s="169"/>
      <c r="E100" s="169"/>
      <c r="F100" s="169"/>
      <c r="G100" s="169"/>
      <c r="H100" s="169"/>
      <c r="I100" s="169"/>
      <c r="J100" s="169"/>
      <c r="K100" s="169"/>
      <c r="L100" s="169"/>
      <c r="M100" s="169"/>
      <c r="N100" s="169"/>
      <c r="O100" s="170"/>
      <c r="P100" s="170"/>
      <c r="Q100" s="170"/>
      <c r="R100" s="170"/>
      <c r="S100" s="170"/>
      <c r="T100" s="170"/>
      <c r="U100" s="170"/>
      <c r="V100" s="170"/>
      <c r="W100" s="161"/>
      <c r="X100" s="161"/>
      <c r="Y100" s="161"/>
      <c r="Z100" s="161"/>
      <c r="AA100" s="161"/>
      <c r="AB100" s="161"/>
      <c r="AC100" s="161"/>
      <c r="AD100" s="161"/>
      <c r="AE100" s="161"/>
      <c r="AF100" s="161"/>
    </row>
    <row r="101" spans="1:32">
      <c r="A101" s="169"/>
      <c r="B101" s="169"/>
      <c r="C101" s="169"/>
      <c r="D101" s="169"/>
      <c r="E101" s="169"/>
      <c r="F101" s="169"/>
      <c r="G101" s="169"/>
      <c r="H101" s="169"/>
      <c r="I101" s="169"/>
      <c r="J101" s="169"/>
      <c r="K101" s="169"/>
      <c r="L101" s="169"/>
      <c r="M101" s="169"/>
      <c r="N101" s="169"/>
      <c r="O101" s="170"/>
      <c r="P101" s="170"/>
      <c r="Q101" s="170"/>
      <c r="R101" s="170"/>
      <c r="S101" s="170"/>
      <c r="T101" s="170"/>
      <c r="U101" s="170"/>
      <c r="V101" s="170"/>
      <c r="W101" s="161"/>
      <c r="X101" s="161"/>
      <c r="Y101" s="161"/>
      <c r="Z101" s="161"/>
      <c r="AA101" s="161"/>
      <c r="AB101" s="161"/>
      <c r="AC101" s="161"/>
      <c r="AD101" s="161"/>
      <c r="AE101" s="161"/>
      <c r="AF101" s="161"/>
    </row>
    <row r="102" spans="1:32">
      <c r="A102" s="169"/>
      <c r="B102" s="169"/>
      <c r="C102" s="169"/>
      <c r="D102" s="169"/>
      <c r="E102" s="169"/>
      <c r="F102" s="169"/>
      <c r="G102" s="169"/>
      <c r="H102" s="169"/>
      <c r="I102" s="169"/>
      <c r="J102" s="169"/>
      <c r="K102" s="169"/>
      <c r="L102" s="169"/>
      <c r="M102" s="169"/>
      <c r="N102" s="169"/>
      <c r="O102" s="170"/>
      <c r="P102" s="170"/>
      <c r="Q102" s="170"/>
      <c r="R102" s="170"/>
      <c r="S102" s="170"/>
      <c r="T102" s="170"/>
      <c r="U102" s="170"/>
      <c r="V102" s="170"/>
      <c r="W102" s="161"/>
      <c r="X102" s="161"/>
      <c r="Y102" s="161"/>
      <c r="Z102" s="161"/>
      <c r="AA102" s="161"/>
      <c r="AB102" s="161"/>
      <c r="AC102" s="161"/>
      <c r="AD102" s="161"/>
      <c r="AE102" s="161"/>
      <c r="AF102" s="161"/>
    </row>
    <row r="103" spans="1:32">
      <c r="A103" s="169"/>
      <c r="B103" s="169"/>
      <c r="C103" s="169"/>
      <c r="D103" s="169"/>
      <c r="E103" s="169"/>
      <c r="F103" s="169"/>
      <c r="G103" s="169"/>
      <c r="H103" s="169"/>
      <c r="I103" s="169"/>
      <c r="J103" s="169"/>
      <c r="K103" s="169"/>
      <c r="L103" s="169"/>
      <c r="M103" s="169"/>
      <c r="N103" s="169"/>
      <c r="O103" s="170"/>
      <c r="P103" s="170"/>
      <c r="Q103" s="170"/>
      <c r="R103" s="170"/>
      <c r="S103" s="170"/>
      <c r="T103" s="170"/>
      <c r="U103" s="170"/>
      <c r="V103" s="170"/>
      <c r="W103" s="161"/>
      <c r="X103" s="161"/>
      <c r="Y103" s="161"/>
      <c r="Z103" s="161"/>
      <c r="AA103" s="161"/>
      <c r="AB103" s="161"/>
      <c r="AC103" s="161"/>
      <c r="AD103" s="161"/>
      <c r="AE103" s="161"/>
      <c r="AF103" s="161"/>
    </row>
    <row r="104" spans="1:32">
      <c r="A104" s="169"/>
      <c r="B104" s="169"/>
      <c r="C104" s="169"/>
      <c r="D104" s="169"/>
      <c r="E104" s="169"/>
      <c r="F104" s="169"/>
      <c r="G104" s="169"/>
      <c r="H104" s="169"/>
      <c r="I104" s="169"/>
      <c r="J104" s="169"/>
      <c r="K104" s="169"/>
      <c r="L104" s="169"/>
      <c r="M104" s="169"/>
      <c r="N104" s="169"/>
      <c r="O104" s="170"/>
      <c r="P104" s="170"/>
      <c r="Q104" s="170"/>
      <c r="R104" s="170"/>
      <c r="S104" s="170"/>
      <c r="T104" s="170"/>
      <c r="U104" s="170"/>
      <c r="V104" s="170"/>
      <c r="W104" s="161"/>
      <c r="X104" s="161"/>
      <c r="Y104" s="161"/>
      <c r="Z104" s="161"/>
      <c r="AA104" s="161"/>
      <c r="AB104" s="161"/>
      <c r="AC104" s="161"/>
      <c r="AD104" s="161"/>
      <c r="AE104" s="161"/>
      <c r="AF104" s="161"/>
    </row>
    <row r="105" spans="1:32">
      <c r="A105" s="169"/>
      <c r="B105" s="169"/>
      <c r="C105" s="169"/>
      <c r="D105" s="169"/>
      <c r="E105" s="169"/>
      <c r="F105" s="169"/>
      <c r="G105" s="169"/>
      <c r="H105" s="169"/>
      <c r="I105" s="169"/>
      <c r="J105" s="169"/>
      <c r="K105" s="169"/>
      <c r="L105" s="169"/>
      <c r="M105" s="169"/>
      <c r="N105" s="169"/>
      <c r="O105" s="170"/>
      <c r="P105" s="170"/>
      <c r="Q105" s="170"/>
      <c r="R105" s="170"/>
      <c r="S105" s="170"/>
      <c r="T105" s="170"/>
      <c r="U105" s="170"/>
      <c r="V105" s="170"/>
      <c r="W105" s="161"/>
      <c r="X105" s="161"/>
      <c r="Y105" s="161"/>
      <c r="Z105" s="161"/>
      <c r="AA105" s="161"/>
      <c r="AB105" s="161"/>
      <c r="AC105" s="161"/>
      <c r="AD105" s="161"/>
      <c r="AE105" s="161"/>
      <c r="AF105" s="161"/>
    </row>
    <row r="106" spans="1:32">
      <c r="A106" s="169"/>
      <c r="B106" s="169"/>
      <c r="C106" s="169"/>
      <c r="D106" s="169"/>
      <c r="E106" s="169"/>
      <c r="F106" s="169"/>
      <c r="G106" s="169"/>
      <c r="H106" s="169"/>
      <c r="I106" s="169"/>
      <c r="J106" s="169"/>
      <c r="K106" s="169"/>
      <c r="L106" s="169"/>
      <c r="M106" s="169"/>
      <c r="N106" s="169"/>
      <c r="O106" s="170"/>
      <c r="P106" s="170"/>
      <c r="Q106" s="170"/>
      <c r="R106" s="170"/>
      <c r="S106" s="170"/>
      <c r="T106" s="170"/>
      <c r="U106" s="170"/>
      <c r="V106" s="170"/>
      <c r="W106" s="161"/>
      <c r="X106" s="161"/>
      <c r="Y106" s="161"/>
      <c r="Z106" s="161"/>
      <c r="AA106" s="161"/>
      <c r="AB106" s="161"/>
      <c r="AC106" s="161"/>
      <c r="AD106" s="161"/>
      <c r="AE106" s="161"/>
      <c r="AF106" s="161"/>
    </row>
    <row r="107" spans="1:32">
      <c r="A107" s="169"/>
      <c r="B107" s="169"/>
      <c r="C107" s="169"/>
      <c r="D107" s="169"/>
      <c r="E107" s="169"/>
      <c r="F107" s="169"/>
      <c r="G107" s="169"/>
      <c r="H107" s="169"/>
      <c r="I107" s="169"/>
      <c r="J107" s="169"/>
      <c r="K107" s="169"/>
      <c r="L107" s="169"/>
      <c r="M107" s="169"/>
      <c r="N107" s="169"/>
      <c r="O107" s="170"/>
      <c r="P107" s="170"/>
      <c r="Q107" s="170"/>
      <c r="R107" s="170"/>
      <c r="S107" s="170"/>
      <c r="T107" s="170"/>
      <c r="U107" s="170"/>
      <c r="V107" s="170"/>
      <c r="W107" s="161"/>
      <c r="X107" s="161"/>
      <c r="Y107" s="161"/>
      <c r="Z107" s="161"/>
      <c r="AA107" s="161"/>
      <c r="AB107" s="161"/>
      <c r="AC107" s="161"/>
      <c r="AD107" s="161"/>
      <c r="AE107" s="161"/>
      <c r="AF107" s="161"/>
    </row>
    <row r="108" spans="1:32">
      <c r="A108" s="169"/>
      <c r="B108" s="169"/>
      <c r="C108" s="169"/>
      <c r="D108" s="169"/>
      <c r="E108" s="169"/>
      <c r="F108" s="169"/>
      <c r="G108" s="169"/>
      <c r="H108" s="169"/>
      <c r="I108" s="169"/>
      <c r="J108" s="169"/>
      <c r="K108" s="169"/>
      <c r="L108" s="169"/>
      <c r="M108" s="169"/>
      <c r="N108" s="169"/>
      <c r="O108" s="170"/>
      <c r="P108" s="170"/>
      <c r="Q108" s="170"/>
      <c r="R108" s="170"/>
      <c r="S108" s="170"/>
      <c r="T108" s="170"/>
      <c r="U108" s="170"/>
      <c r="V108" s="170"/>
      <c r="W108" s="161"/>
      <c r="X108" s="161"/>
      <c r="Y108" s="161"/>
      <c r="Z108" s="161"/>
      <c r="AA108" s="161"/>
      <c r="AB108" s="161"/>
      <c r="AC108" s="161"/>
      <c r="AD108" s="161"/>
      <c r="AE108" s="161"/>
      <c r="AF108" s="161"/>
    </row>
    <row r="109" spans="1:32">
      <c r="A109" s="169"/>
      <c r="B109" s="169"/>
      <c r="C109" s="169"/>
      <c r="D109" s="169"/>
      <c r="E109" s="169"/>
      <c r="F109" s="169"/>
      <c r="G109" s="169"/>
      <c r="H109" s="169"/>
      <c r="I109" s="169"/>
      <c r="J109" s="169"/>
      <c r="K109" s="169"/>
      <c r="L109" s="169"/>
      <c r="M109" s="169"/>
      <c r="N109" s="169"/>
      <c r="O109" s="170"/>
      <c r="P109" s="170"/>
      <c r="Q109" s="170"/>
      <c r="R109" s="170"/>
      <c r="S109" s="170"/>
      <c r="T109" s="170"/>
      <c r="U109" s="170"/>
      <c r="V109" s="170"/>
      <c r="W109" s="161"/>
      <c r="X109" s="161"/>
      <c r="Y109" s="161"/>
      <c r="Z109" s="161"/>
      <c r="AA109" s="161"/>
      <c r="AB109" s="161"/>
      <c r="AC109" s="161"/>
      <c r="AD109" s="161"/>
      <c r="AE109" s="161"/>
      <c r="AF109" s="161"/>
    </row>
    <row r="110" spans="1:32">
      <c r="A110" s="169"/>
      <c r="B110" s="169"/>
      <c r="C110" s="169"/>
      <c r="D110" s="169"/>
      <c r="E110" s="169"/>
      <c r="F110" s="169"/>
      <c r="G110" s="169"/>
      <c r="H110" s="169"/>
      <c r="I110" s="169"/>
      <c r="J110" s="169"/>
      <c r="K110" s="169"/>
      <c r="L110" s="169"/>
      <c r="M110" s="169"/>
      <c r="N110" s="169"/>
      <c r="O110" s="170"/>
      <c r="P110" s="170"/>
      <c r="Q110" s="170"/>
      <c r="R110" s="170"/>
      <c r="S110" s="170"/>
      <c r="T110" s="170"/>
      <c r="U110" s="170"/>
      <c r="V110" s="170"/>
      <c r="W110" s="161"/>
      <c r="X110" s="161"/>
      <c r="Y110" s="161"/>
      <c r="Z110" s="161"/>
      <c r="AA110" s="161"/>
      <c r="AB110" s="161"/>
      <c r="AC110" s="161"/>
      <c r="AD110" s="161"/>
      <c r="AE110" s="161"/>
      <c r="AF110" s="161"/>
    </row>
    <row r="111" spans="1:32">
      <c r="A111" s="169"/>
      <c r="B111" s="169"/>
      <c r="C111" s="169"/>
      <c r="D111" s="169"/>
      <c r="E111" s="169"/>
      <c r="F111" s="169"/>
      <c r="G111" s="169"/>
      <c r="H111" s="169"/>
      <c r="I111" s="169"/>
      <c r="J111" s="169"/>
      <c r="K111" s="169"/>
      <c r="L111" s="169"/>
      <c r="M111" s="169"/>
      <c r="N111" s="169"/>
      <c r="O111" s="170"/>
      <c r="P111" s="170"/>
      <c r="Q111" s="170"/>
      <c r="R111" s="170"/>
      <c r="S111" s="170"/>
      <c r="T111" s="170"/>
      <c r="U111" s="170"/>
      <c r="V111" s="170"/>
      <c r="W111" s="161"/>
      <c r="X111" s="161"/>
      <c r="Y111" s="161"/>
      <c r="Z111" s="161"/>
      <c r="AA111" s="161"/>
      <c r="AB111" s="161"/>
      <c r="AC111" s="161"/>
      <c r="AD111" s="161"/>
      <c r="AE111" s="161"/>
      <c r="AF111" s="161"/>
    </row>
    <row r="112" spans="1:32">
      <c r="A112" s="169"/>
      <c r="B112" s="169"/>
      <c r="C112" s="169"/>
      <c r="D112" s="169"/>
      <c r="E112" s="169"/>
      <c r="F112" s="169"/>
      <c r="G112" s="169"/>
      <c r="H112" s="169"/>
      <c r="I112" s="169"/>
      <c r="J112" s="169"/>
      <c r="K112" s="169"/>
      <c r="L112" s="169"/>
      <c r="M112" s="169"/>
      <c r="N112" s="169"/>
      <c r="O112" s="170"/>
      <c r="P112" s="170"/>
      <c r="Q112" s="170"/>
      <c r="R112" s="170"/>
      <c r="S112" s="170"/>
      <c r="T112" s="170"/>
      <c r="U112" s="170"/>
      <c r="V112" s="170"/>
      <c r="W112" s="161"/>
      <c r="X112" s="161"/>
      <c r="Y112" s="161"/>
      <c r="Z112" s="161"/>
      <c r="AA112" s="161"/>
      <c r="AB112" s="161"/>
      <c r="AC112" s="161"/>
      <c r="AD112" s="161"/>
      <c r="AE112" s="161"/>
      <c r="AF112" s="161"/>
    </row>
    <row r="113" spans="1:32">
      <c r="A113" s="169"/>
      <c r="B113" s="169"/>
      <c r="C113" s="169"/>
      <c r="D113" s="169"/>
      <c r="E113" s="169"/>
      <c r="F113" s="169"/>
      <c r="G113" s="169"/>
      <c r="H113" s="169"/>
      <c r="I113" s="169"/>
      <c r="J113" s="169"/>
      <c r="K113" s="169"/>
      <c r="L113" s="169"/>
      <c r="M113" s="169"/>
      <c r="N113" s="169"/>
      <c r="O113" s="170"/>
      <c r="P113" s="170"/>
      <c r="Q113" s="170"/>
      <c r="R113" s="170"/>
      <c r="S113" s="161"/>
      <c r="T113" s="170"/>
      <c r="U113" s="170"/>
      <c r="V113" s="170"/>
      <c r="W113" s="161"/>
      <c r="X113" s="161"/>
      <c r="Y113" s="161"/>
      <c r="Z113" s="161"/>
      <c r="AA113" s="161"/>
      <c r="AB113" s="161"/>
      <c r="AC113" s="161"/>
      <c r="AD113" s="161"/>
      <c r="AE113" s="161"/>
      <c r="AF113" s="161"/>
    </row>
    <row r="114" spans="1:32">
      <c r="A114" s="171"/>
      <c r="B114" s="171"/>
      <c r="C114" s="171"/>
      <c r="D114" s="171"/>
      <c r="E114" s="171"/>
      <c r="F114" s="171"/>
      <c r="G114" s="171"/>
      <c r="H114" s="171"/>
      <c r="I114" s="171"/>
      <c r="J114" s="171"/>
      <c r="K114" s="171"/>
      <c r="L114" s="171"/>
      <c r="M114" s="171"/>
      <c r="N114" s="171"/>
      <c r="O114" s="161"/>
      <c r="P114" s="161"/>
      <c r="Q114" s="161"/>
      <c r="R114" s="161"/>
      <c r="S114" s="161"/>
      <c r="T114" s="161"/>
      <c r="U114" s="161"/>
      <c r="V114" s="161"/>
      <c r="W114" s="161"/>
      <c r="X114" s="161"/>
      <c r="Y114" s="161"/>
      <c r="Z114" s="161"/>
      <c r="AA114" s="161"/>
      <c r="AB114" s="161"/>
      <c r="AC114" s="161"/>
      <c r="AD114" s="161"/>
      <c r="AE114" s="161"/>
      <c r="AF114" s="161"/>
    </row>
    <row r="115" spans="1:32">
      <c r="A115" s="171"/>
      <c r="B115" s="171"/>
      <c r="C115" s="171"/>
      <c r="D115" s="171"/>
      <c r="E115" s="171"/>
      <c r="F115" s="171"/>
      <c r="G115" s="171"/>
      <c r="H115" s="171"/>
      <c r="I115" s="171"/>
      <c r="J115" s="171"/>
      <c r="K115" s="171"/>
      <c r="L115" s="171"/>
      <c r="M115" s="171"/>
      <c r="N115" s="171"/>
      <c r="O115" s="161"/>
      <c r="P115" s="161"/>
      <c r="Q115" s="161"/>
      <c r="R115" s="161"/>
      <c r="S115" s="161"/>
      <c r="T115" s="161"/>
      <c r="U115" s="161"/>
      <c r="V115" s="161"/>
      <c r="W115" s="161"/>
      <c r="X115" s="161"/>
      <c r="Y115" s="161"/>
      <c r="Z115" s="161"/>
      <c r="AA115" s="161"/>
      <c r="AB115" s="161"/>
      <c r="AC115" s="161"/>
      <c r="AD115" s="161"/>
      <c r="AE115" s="161"/>
      <c r="AF115" s="161"/>
    </row>
    <row r="116" spans="1:32">
      <c r="A116" s="171"/>
      <c r="B116" s="171"/>
      <c r="C116" s="171"/>
      <c r="D116" s="171"/>
      <c r="E116" s="171"/>
      <c r="F116" s="171"/>
      <c r="G116" s="171"/>
      <c r="H116" s="171"/>
      <c r="I116" s="171"/>
      <c r="J116" s="171"/>
      <c r="K116" s="171"/>
      <c r="L116" s="171"/>
      <c r="M116" s="171"/>
      <c r="N116" s="171"/>
      <c r="O116" s="161"/>
      <c r="P116" s="161"/>
      <c r="Q116" s="161"/>
      <c r="R116" s="161"/>
      <c r="S116" s="161"/>
      <c r="T116" s="161"/>
      <c r="U116" s="161"/>
      <c r="V116" s="161"/>
      <c r="W116" s="161"/>
      <c r="X116" s="161"/>
      <c r="Y116" s="161"/>
      <c r="Z116" s="161"/>
      <c r="AA116" s="161"/>
      <c r="AB116" s="161"/>
      <c r="AC116" s="161"/>
      <c r="AD116" s="161"/>
      <c r="AE116" s="161"/>
      <c r="AF116" s="161"/>
    </row>
    <row r="117" spans="1:32">
      <c r="A117" s="171"/>
      <c r="B117" s="171"/>
      <c r="C117" s="171"/>
      <c r="D117" s="171"/>
      <c r="E117" s="171"/>
      <c r="F117" s="171"/>
      <c r="G117" s="171"/>
      <c r="H117" s="171"/>
      <c r="I117" s="171"/>
      <c r="J117" s="171"/>
      <c r="K117" s="171"/>
      <c r="L117" s="171"/>
      <c r="M117" s="171"/>
      <c r="N117" s="171"/>
      <c r="O117" s="161"/>
      <c r="P117" s="161"/>
      <c r="Q117" s="161"/>
      <c r="R117" s="161"/>
      <c r="S117" s="161"/>
      <c r="T117" s="161"/>
      <c r="U117" s="161"/>
      <c r="V117" s="161"/>
      <c r="W117" s="161"/>
      <c r="X117" s="161"/>
      <c r="Y117" s="161"/>
      <c r="Z117" s="161"/>
      <c r="AA117" s="161"/>
      <c r="AB117" s="161"/>
      <c r="AC117" s="161"/>
      <c r="AD117" s="161"/>
      <c r="AE117" s="161"/>
      <c r="AF117" s="161"/>
    </row>
    <row r="118" spans="1:32">
      <c r="A118" s="171"/>
      <c r="B118" s="171"/>
      <c r="C118" s="171"/>
      <c r="D118" s="171"/>
      <c r="E118" s="171"/>
      <c r="F118" s="171"/>
      <c r="G118" s="171"/>
      <c r="H118" s="171"/>
      <c r="I118" s="171"/>
      <c r="J118" s="171"/>
      <c r="K118" s="171"/>
      <c r="L118" s="171"/>
      <c r="M118" s="171"/>
      <c r="N118" s="171"/>
      <c r="O118" s="161"/>
      <c r="P118" s="161"/>
      <c r="Q118" s="161"/>
      <c r="R118" s="161"/>
      <c r="S118" s="161"/>
      <c r="T118" s="161"/>
      <c r="U118" s="161"/>
      <c r="V118" s="161"/>
      <c r="W118" s="161"/>
      <c r="X118" s="161"/>
      <c r="Y118" s="161"/>
      <c r="Z118" s="161"/>
      <c r="AA118" s="161"/>
      <c r="AB118" s="161"/>
      <c r="AC118" s="161"/>
      <c r="AD118" s="161"/>
      <c r="AE118" s="161"/>
      <c r="AF118" s="161"/>
    </row>
    <row r="119" spans="1:32">
      <c r="A119" s="171"/>
      <c r="B119" s="171"/>
      <c r="C119" s="171"/>
      <c r="D119" s="171"/>
      <c r="E119" s="171"/>
      <c r="F119" s="171"/>
      <c r="G119" s="171"/>
      <c r="H119" s="171"/>
      <c r="I119" s="171"/>
      <c r="J119" s="171"/>
      <c r="K119" s="171"/>
      <c r="L119" s="171"/>
      <c r="M119" s="171"/>
      <c r="N119" s="171"/>
      <c r="O119" s="161"/>
      <c r="P119" s="161"/>
      <c r="Q119" s="161"/>
      <c r="R119" s="161"/>
      <c r="T119" s="161"/>
      <c r="U119" s="161"/>
      <c r="V119" s="161"/>
      <c r="W119" s="161"/>
      <c r="X119" s="161"/>
      <c r="Y119" s="161"/>
      <c r="Z119" s="161"/>
      <c r="AA119" s="161"/>
      <c r="AB119" s="161"/>
      <c r="AC119" s="161"/>
      <c r="AD119" s="161"/>
      <c r="AE119" s="161"/>
      <c r="AF119" s="161"/>
    </row>
  </sheetData>
  <mergeCells count="48">
    <mergeCell ref="E13:L13"/>
    <mergeCell ref="M13:R13"/>
    <mergeCell ref="A19:D19"/>
    <mergeCell ref="A20:D20"/>
    <mergeCell ref="A21:D21"/>
    <mergeCell ref="R21:R23"/>
    <mergeCell ref="A22:D22"/>
    <mergeCell ref="J14:J15"/>
    <mergeCell ref="M14:M15"/>
    <mergeCell ref="Q14:R14"/>
    <mergeCell ref="A14:D15"/>
    <mergeCell ref="E14:E15"/>
    <mergeCell ref="F14:F15"/>
    <mergeCell ref="G14:G15"/>
    <mergeCell ref="H14:H15"/>
    <mergeCell ref="I14:I15"/>
    <mergeCell ref="A23:D23"/>
    <mergeCell ref="R16:R20"/>
    <mergeCell ref="A16:D16"/>
    <mergeCell ref="A33:D33"/>
    <mergeCell ref="A34:R34"/>
    <mergeCell ref="A35:R35"/>
    <mergeCell ref="A24:D24"/>
    <mergeCell ref="R24:R25"/>
    <mergeCell ref="A25:D25"/>
    <mergeCell ref="A27:D27"/>
    <mergeCell ref="A30:D30"/>
    <mergeCell ref="A31:D31"/>
    <mergeCell ref="A32:D32"/>
    <mergeCell ref="A26:D26"/>
    <mergeCell ref="R26:R32"/>
    <mergeCell ref="A29:D29"/>
    <mergeCell ref="A28:D28"/>
    <mergeCell ref="A17:D17"/>
    <mergeCell ref="A18:D18"/>
    <mergeCell ref="A8:H8"/>
    <mergeCell ref="A9:H9"/>
    <mergeCell ref="I6:K6"/>
    <mergeCell ref="L6:R6"/>
    <mergeCell ref="I7:K7"/>
    <mergeCell ref="L7:R7"/>
    <mergeCell ref="A6:H6"/>
    <mergeCell ref="A7:H7"/>
    <mergeCell ref="A1:R1"/>
    <mergeCell ref="A10:H10"/>
    <mergeCell ref="A11:H11"/>
    <mergeCell ref="A12:R12"/>
    <mergeCell ref="A13:D13"/>
  </mergeCells>
  <pageMargins left="0.25" right="0" top="0" bottom="0" header="0" footer="0"/>
  <pageSetup paperSize="9" scale="63" orientation="portrait" verticalDpi="144" r:id="rId1"/>
  <headerFooter scaleWithDoc="0" alignWithMargins="0"/>
  <rowBreaks count="1" manualBreakCount="1">
    <brk id="33" max="16383" man="1"/>
  </rowBreaks>
  <ignoredErrors>
    <ignoredError sqref="O2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2</vt:i4>
      </vt:variant>
    </vt:vector>
  </HeadingPairs>
  <TitlesOfParts>
    <vt:vector size="12" baseType="lpstr">
      <vt:lpstr>16S-m-c</vt:lpstr>
      <vt:lpstr>80s Mic.Modal</vt:lpstr>
      <vt:lpstr>20S (2)</vt:lpstr>
      <vt:lpstr>o.e-(K)</vt:lpstr>
      <vt:lpstr>30s o.e-(K) (3)</vt:lpstr>
      <vt:lpstr>Prep Datas</vt:lpstr>
      <vt:lpstr>Spin MF</vt:lpstr>
      <vt:lpstr>Spin Datas</vt:lpstr>
      <vt:lpstr>Post Spin Datas</vt:lpstr>
      <vt:lpstr>Overall UKG</vt:lpstr>
      <vt:lpstr>'Overall UKG'!Print_Area</vt:lpstr>
      <vt:lpstr>'Spin MF'!Print_Area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MYPC</dc:creator>
  <cp:lastModifiedBy>admin</cp:lastModifiedBy>
  <cp:lastPrinted>2015-09-27T07:06:25Z</cp:lastPrinted>
  <dcterms:created xsi:type="dcterms:W3CDTF">2009-03-22T05:11:46Z</dcterms:created>
  <dcterms:modified xsi:type="dcterms:W3CDTF">2023-08-23T14:21:00Z</dcterms:modified>
</cp:coreProperties>
</file>