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105" yWindow="0" windowWidth="12120" windowHeight="9120" tabRatio="413" firstSheet="5" activeTab="5"/>
  </bookViews>
  <sheets>
    <sheet name="16S-m-c" sheetId="36" state="hidden" r:id="rId1"/>
    <sheet name="80s Mic.Modal" sheetId="43" state="hidden" r:id="rId2"/>
    <sheet name="20S (2)" sheetId="35" state="hidden" r:id="rId3"/>
    <sheet name="o.e-(K)" sheetId="29" state="hidden" r:id="rId4"/>
    <sheet name="30s o.e-(K) (3)" sheetId="40" state="hidden" r:id="rId5"/>
    <sheet name="UKG" sheetId="69" r:id="rId6"/>
    <sheet name="Prep" sheetId="73" r:id="rId7"/>
    <sheet name="MF" sheetId="68" r:id="rId8"/>
    <sheet name="Spin" sheetId="72" r:id="rId9"/>
    <sheet name="AConer" sheetId="70" r:id="rId10"/>
    <sheet name="Utilities" sheetId="74" r:id="rId11"/>
  </sheets>
  <definedNames>
    <definedName name="_xlnm.Print_Area" localSheetId="7">MF!$A$1:$I$21</definedName>
    <definedName name="_xlnm.Print_Area" localSheetId="8">Spin!#REF!</definedName>
    <definedName name="_xlnm.Print_Area" localSheetId="5">UKG!$A$1:$Q$43</definedName>
  </definedNames>
  <calcPr calcId="144525"/>
</workbook>
</file>

<file path=xl/calcChain.xml><?xml version="1.0" encoding="utf-8"?>
<calcChain xmlns="http://schemas.openxmlformats.org/spreadsheetml/2006/main">
  <c r="M30" i="69" l="1"/>
  <c r="K14" i="69"/>
  <c r="L14" i="69" s="1"/>
  <c r="M14" i="69" s="1"/>
  <c r="N14" i="69" s="1"/>
  <c r="O14" i="69" s="1"/>
  <c r="P14" i="69" s="1"/>
  <c r="Q14" i="69" s="1"/>
  <c r="J9" i="70"/>
  <c r="L30" i="69" s="1"/>
  <c r="N30" i="69" s="1"/>
  <c r="K9" i="70"/>
  <c r="H16" i="72"/>
  <c r="H17" i="72"/>
  <c r="I9" i="68"/>
  <c r="G35" i="73"/>
  <c r="C23" i="73"/>
  <c r="J22" i="69" s="1"/>
  <c r="D23" i="73"/>
  <c r="D22" i="69" s="1"/>
  <c r="G23" i="73"/>
  <c r="E22" i="69" s="1"/>
  <c r="H23" i="73"/>
  <c r="F22" i="69" s="1"/>
  <c r="I23" i="73"/>
  <c r="H22" i="69" s="1"/>
  <c r="J23" i="73"/>
  <c r="L22" i="69" s="1"/>
  <c r="K23" i="73"/>
  <c r="M22" i="69" s="1"/>
  <c r="K15" i="69" l="1"/>
  <c r="L15" i="69"/>
  <c r="G22" i="69"/>
  <c r="I22" i="69" s="1"/>
  <c r="K22" i="69" s="1"/>
  <c r="N22" i="69"/>
  <c r="O22" i="69" s="1"/>
  <c r="M19" i="69" l="1"/>
  <c r="L19" i="69"/>
  <c r="H19" i="69"/>
  <c r="G19" i="69"/>
  <c r="G9" i="70"/>
  <c r="I22" i="72"/>
  <c r="I38" i="73"/>
  <c r="H25" i="69" s="1"/>
  <c r="I30" i="73"/>
  <c r="I18" i="73"/>
  <c r="I10" i="73"/>
  <c r="H20" i="69" s="1"/>
  <c r="L38" i="73"/>
  <c r="L25" i="69" s="1"/>
  <c r="M38" i="73"/>
  <c r="L35" i="69"/>
  <c r="M35" i="69"/>
  <c r="L36" i="69"/>
  <c r="M36" i="69"/>
  <c r="L37" i="69"/>
  <c r="M37" i="69"/>
  <c r="L38" i="69"/>
  <c r="M38" i="69"/>
  <c r="M34" i="69"/>
  <c r="L34" i="69"/>
  <c r="J35" i="69"/>
  <c r="J36" i="69"/>
  <c r="J37" i="69"/>
  <c r="J38" i="69"/>
  <c r="J34" i="69"/>
  <c r="F4" i="74"/>
  <c r="F5" i="74"/>
  <c r="F6" i="74"/>
  <c r="F7" i="74"/>
  <c r="F3" i="74"/>
  <c r="L22" i="72"/>
  <c r="M22" i="72"/>
  <c r="N22" i="72"/>
  <c r="M28" i="69" s="1"/>
  <c r="M9" i="70"/>
  <c r="M31" i="69" s="1"/>
  <c r="I9" i="70"/>
  <c r="M29" i="69" s="1"/>
  <c r="F9" i="70"/>
  <c r="F29" i="69" s="1"/>
  <c r="I21" i="68"/>
  <c r="J17" i="72" s="1"/>
  <c r="I20" i="68"/>
  <c r="J16" i="72" s="1"/>
  <c r="I19" i="68"/>
  <c r="I18" i="68"/>
  <c r="I17" i="68"/>
  <c r="I16" i="68"/>
  <c r="I15" i="68"/>
  <c r="I14" i="68"/>
  <c r="I13" i="68"/>
  <c r="I12" i="68"/>
  <c r="I11" i="68"/>
  <c r="I10" i="68"/>
  <c r="E38" i="73"/>
  <c r="F38" i="73"/>
  <c r="G34" i="73"/>
  <c r="G33" i="73"/>
  <c r="H31" i="69" l="1"/>
  <c r="H30" i="69"/>
  <c r="O30" i="69" s="1"/>
  <c r="F8" i="74"/>
  <c r="H29" i="69"/>
  <c r="H27" i="69"/>
  <c r="M27" i="69"/>
  <c r="H26" i="69"/>
  <c r="H28" i="69"/>
  <c r="M25" i="69"/>
  <c r="N25" i="69" s="1"/>
  <c r="O25" i="69" s="1"/>
  <c r="H21" i="69"/>
  <c r="H23" i="69"/>
  <c r="H24" i="69"/>
  <c r="H5" i="72" l="1"/>
  <c r="K38" i="73"/>
  <c r="J38" i="73"/>
  <c r="H38" i="73"/>
  <c r="G38" i="73"/>
  <c r="D38" i="73"/>
  <c r="C38" i="73"/>
  <c r="K30" i="73"/>
  <c r="J30" i="73"/>
  <c r="H30" i="73"/>
  <c r="G30" i="73"/>
  <c r="D30" i="73"/>
  <c r="C30" i="73"/>
  <c r="C18" i="73"/>
  <c r="C10" i="73"/>
  <c r="K18" i="73"/>
  <c r="J18" i="73"/>
  <c r="G18" i="73"/>
  <c r="D18" i="73"/>
  <c r="H10" i="73"/>
  <c r="J10" i="73"/>
  <c r="K10" i="73"/>
  <c r="G10" i="73"/>
  <c r="D10" i="73"/>
  <c r="E21" i="69" l="1"/>
  <c r="L21" i="69"/>
  <c r="J23" i="69"/>
  <c r="E23" i="69"/>
  <c r="L23" i="69"/>
  <c r="J24" i="69"/>
  <c r="E24" i="69"/>
  <c r="L24" i="69"/>
  <c r="E20" i="69"/>
  <c r="F21" i="69"/>
  <c r="M21" i="69"/>
  <c r="J21" i="69"/>
  <c r="D23" i="69"/>
  <c r="F23" i="69"/>
  <c r="M23" i="69"/>
  <c r="D24" i="69"/>
  <c r="F24" i="69"/>
  <c r="M24" i="69"/>
  <c r="D21" i="69"/>
  <c r="F20" i="69"/>
  <c r="G20" i="69" s="1"/>
  <c r="I20" i="69" s="1"/>
  <c r="M20" i="69"/>
  <c r="L20" i="69"/>
  <c r="N20" i="69" s="1"/>
  <c r="O20" i="69" s="1"/>
  <c r="D20" i="69"/>
  <c r="J20" i="69"/>
  <c r="A2" i="72"/>
  <c r="J6" i="72"/>
  <c r="J7" i="72"/>
  <c r="J8" i="72"/>
  <c r="J9" i="72"/>
  <c r="J10" i="72"/>
  <c r="J11" i="72"/>
  <c r="J12" i="72"/>
  <c r="J13" i="72"/>
  <c r="J14" i="72"/>
  <c r="J15" i="72"/>
  <c r="J5" i="72"/>
  <c r="L28" i="69"/>
  <c r="K22" i="72"/>
  <c r="G22" i="72"/>
  <c r="F22" i="72"/>
  <c r="E22" i="72"/>
  <c r="D22" i="72"/>
  <c r="B22" i="72"/>
  <c r="H15" i="72"/>
  <c r="H14" i="72"/>
  <c r="H13" i="72"/>
  <c r="H12" i="72"/>
  <c r="H11" i="72"/>
  <c r="H10" i="72"/>
  <c r="H9" i="72"/>
  <c r="H8" i="72"/>
  <c r="H7" i="72"/>
  <c r="H6" i="72"/>
  <c r="G21" i="69"/>
  <c r="I21" i="69" s="1"/>
  <c r="K21" i="69" s="1"/>
  <c r="K20" i="69" l="1"/>
  <c r="P20" i="69" s="1"/>
  <c r="N21" i="69"/>
  <c r="O21" i="69" s="1"/>
  <c r="P21" i="69" s="1"/>
  <c r="D26" i="69"/>
  <c r="L27" i="69"/>
  <c r="C5" i="69"/>
  <c r="H22" i="72"/>
  <c r="J22" i="72"/>
  <c r="C22" i="72"/>
  <c r="C23" i="72" l="1"/>
  <c r="J26" i="69"/>
  <c r="I26" i="69"/>
  <c r="N26" i="69"/>
  <c r="L9" i="70"/>
  <c r="L31" i="69" s="1"/>
  <c r="N31" i="69" s="1"/>
  <c r="O31" i="69" s="1"/>
  <c r="H9" i="70"/>
  <c r="L29" i="69" s="1"/>
  <c r="N29" i="69" s="1"/>
  <c r="O29" i="69" s="1"/>
  <c r="E9" i="70"/>
  <c r="E29" i="69" s="1"/>
  <c r="D9" i="70"/>
  <c r="D29" i="69" s="1"/>
  <c r="B9" i="70"/>
  <c r="C9" i="70" s="1"/>
  <c r="J29" i="69" s="1"/>
  <c r="N28" i="69"/>
  <c r="O28" i="69" s="1"/>
  <c r="N27" i="69"/>
  <c r="O27" i="69" s="1"/>
  <c r="N24" i="69"/>
  <c r="O24" i="69" s="1"/>
  <c r="G24" i="69"/>
  <c r="I24" i="69" s="1"/>
  <c r="K24" i="69" s="1"/>
  <c r="N23" i="69"/>
  <c r="O23" i="69" s="1"/>
  <c r="G23" i="69"/>
  <c r="I23" i="69" s="1"/>
  <c r="K23" i="69" s="1"/>
  <c r="N19" i="69"/>
  <c r="O19" i="69" s="1"/>
  <c r="I19" i="69"/>
  <c r="K19" i="69" s="1"/>
  <c r="C2" i="69"/>
  <c r="K26" i="69" l="1"/>
  <c r="C6" i="69" s="1"/>
  <c r="C4" i="69"/>
  <c r="C8" i="69" s="1"/>
  <c r="B2" i="72"/>
  <c r="G29" i="69"/>
  <c r="I29" i="69" s="1"/>
  <c r="K29" i="69" s="1"/>
  <c r="B2" i="68"/>
  <c r="O35" i="69" l="1"/>
  <c r="O37" i="69"/>
  <c r="O34" i="69"/>
  <c r="P34" i="69" s="1"/>
  <c r="O36" i="69"/>
  <c r="O38" i="69"/>
  <c r="P37" i="69"/>
  <c r="P36" i="69"/>
  <c r="P35" i="69"/>
  <c r="P38" i="69"/>
  <c r="O26" i="69"/>
  <c r="D5" i="40"/>
  <c r="D6" i="40"/>
  <c r="F11" i="40"/>
  <c r="B12" i="40"/>
  <c r="F12" i="40"/>
  <c r="B15" i="40"/>
  <c r="D15" i="40"/>
  <c r="F15" i="40"/>
  <c r="D16" i="40"/>
  <c r="F16" i="40"/>
  <c r="D18" i="40"/>
  <c r="B25" i="40"/>
  <c r="B29" i="40" s="1"/>
  <c r="B32" i="40"/>
  <c r="B38" i="40"/>
  <c r="B39" i="40"/>
  <c r="B42" i="40"/>
  <c r="B52" i="40"/>
  <c r="C52" i="40"/>
  <c r="B55" i="40"/>
  <c r="C55" i="40"/>
  <c r="B59" i="40"/>
  <c r="C59" i="40"/>
  <c r="B62" i="40"/>
  <c r="C62" i="40"/>
  <c r="B63" i="40"/>
  <c r="C63" i="40"/>
  <c r="B64" i="40"/>
  <c r="C64" i="40"/>
  <c r="B65" i="40"/>
  <c r="C65" i="40"/>
  <c r="B66" i="40"/>
  <c r="C66" i="40"/>
  <c r="B67" i="40"/>
  <c r="C67" i="40"/>
  <c r="B68" i="40"/>
  <c r="C68" i="40"/>
  <c r="B69" i="40"/>
  <c r="C69" i="40"/>
  <c r="B70" i="40"/>
  <c r="C70" i="40"/>
  <c r="B71" i="40"/>
  <c r="C71" i="40"/>
  <c r="B72" i="40"/>
  <c r="C72" i="40"/>
  <c r="B73" i="40"/>
  <c r="C73" i="40"/>
  <c r="B74" i="40"/>
  <c r="C74" i="40"/>
  <c r="B75" i="40"/>
  <c r="C75" i="40"/>
  <c r="B76" i="40"/>
  <c r="C76" i="40"/>
  <c r="B77" i="40"/>
  <c r="C77" i="40"/>
  <c r="B78" i="40"/>
  <c r="C78" i="40"/>
  <c r="B87" i="40"/>
  <c r="C87" i="40"/>
  <c r="B89" i="40"/>
  <c r="C89" i="40"/>
  <c r="B90" i="40"/>
  <c r="C90" i="40"/>
  <c r="B92" i="40"/>
  <c r="C92" i="40"/>
  <c r="B93" i="40"/>
  <c r="C93" i="40"/>
  <c r="B94" i="40"/>
  <c r="C94" i="40"/>
  <c r="B97" i="40"/>
  <c r="C97" i="40"/>
  <c r="B98" i="40"/>
  <c r="C98" i="40"/>
  <c r="B99" i="40"/>
  <c r="C99" i="40"/>
  <c r="B100" i="40"/>
  <c r="C100" i="40"/>
  <c r="C101" i="40"/>
  <c r="B103" i="40"/>
  <c r="C103" i="40"/>
  <c r="D5" i="29"/>
  <c r="E5" i="29" s="1"/>
  <c r="D6" i="29"/>
  <c r="D7" i="29"/>
  <c r="E7" i="29" s="1"/>
  <c r="B40" i="29" s="1"/>
  <c r="D8" i="29"/>
  <c r="E6" i="29" s="1"/>
  <c r="F11" i="29"/>
  <c r="B12" i="29"/>
  <c r="F12" i="29"/>
  <c r="B15" i="29"/>
  <c r="D15" i="29"/>
  <c r="F15" i="29"/>
  <c r="D16" i="29"/>
  <c r="F16" i="29"/>
  <c r="D18" i="29"/>
  <c r="D20" i="29" s="1"/>
  <c r="B25" i="29"/>
  <c r="B29" i="29" s="1"/>
  <c r="B32" i="29"/>
  <c r="B38" i="29"/>
  <c r="B39" i="29"/>
  <c r="B42" i="29"/>
  <c r="B52" i="29"/>
  <c r="B55" i="29" s="1"/>
  <c r="B99" i="29" s="1"/>
  <c r="B59" i="29"/>
  <c r="B62" i="29"/>
  <c r="B63" i="29" s="1"/>
  <c r="B100" i="29" s="1"/>
  <c r="B64" i="29"/>
  <c r="B65" i="29"/>
  <c r="B66" i="29"/>
  <c r="B67" i="29"/>
  <c r="B68" i="29"/>
  <c r="B69" i="29"/>
  <c r="B70" i="29"/>
  <c r="B71" i="29"/>
  <c r="B72" i="29"/>
  <c r="B73" i="29"/>
  <c r="B74" i="29"/>
  <c r="B75" i="29"/>
  <c r="B76" i="29"/>
  <c r="B77" i="29"/>
  <c r="B78" i="29" s="1"/>
  <c r="B87" i="29"/>
  <c r="B94" i="29" s="1"/>
  <c r="B103" i="29" s="1"/>
  <c r="B89" i="29"/>
  <c r="B90" i="29"/>
  <c r="B92" i="29"/>
  <c r="B93" i="29"/>
  <c r="B97" i="29"/>
  <c r="B98" i="29"/>
  <c r="D5" i="35"/>
  <c r="D6" i="35" s="1"/>
  <c r="D7" i="35" s="1"/>
  <c r="D8" i="35" s="1"/>
  <c r="D9" i="35" s="1"/>
  <c r="D10" i="35" s="1"/>
  <c r="D11" i="35" s="1"/>
  <c r="F14" i="35"/>
  <c r="B15" i="35"/>
  <c r="F15" i="35"/>
  <c r="B18" i="35"/>
  <c r="D18" i="35"/>
  <c r="F18" i="35"/>
  <c r="D19" i="35"/>
  <c r="F19" i="35"/>
  <c r="D21" i="35"/>
  <c r="B28" i="35"/>
  <c r="B32" i="35"/>
  <c r="B35" i="35"/>
  <c r="B41" i="35"/>
  <c r="C41" i="35"/>
  <c r="B42" i="35"/>
  <c r="C42" i="35"/>
  <c r="B46" i="35"/>
  <c r="C46" i="35"/>
  <c r="B55" i="35"/>
  <c r="B56" i="35"/>
  <c r="B57" i="35"/>
  <c r="B62" i="35" s="1"/>
  <c r="B58" i="35"/>
  <c r="B59" i="35"/>
  <c r="B60" i="35"/>
  <c r="B61" i="35"/>
  <c r="B66" i="35"/>
  <c r="B77" i="35"/>
  <c r="B79" i="35"/>
  <c r="B89" i="35"/>
  <c r="B92" i="35"/>
  <c r="B95" i="35"/>
  <c r="B98" i="35"/>
  <c r="B101" i="35"/>
  <c r="B102" i="35"/>
  <c r="B115" i="35" s="1"/>
  <c r="B116" i="35" s="1"/>
  <c r="B103" i="35"/>
  <c r="B104" i="35"/>
  <c r="B105" i="35"/>
  <c r="B106" i="35"/>
  <c r="B107" i="35"/>
  <c r="B108" i="35"/>
  <c r="B109" i="35"/>
  <c r="B110" i="35"/>
  <c r="B111" i="35"/>
  <c r="B112" i="35"/>
  <c r="B113" i="35"/>
  <c r="B114" i="35"/>
  <c r="B120" i="35"/>
  <c r="B124" i="35"/>
  <c r="B127" i="35"/>
  <c r="B128" i="35"/>
  <c r="B129" i="35"/>
  <c r="B130" i="35"/>
  <c r="B137" i="35" s="1"/>
  <c r="B138" i="35" s="1"/>
  <c r="B172" i="35" s="1"/>
  <c r="B131" i="35"/>
  <c r="B132" i="35"/>
  <c r="B133" i="35"/>
  <c r="B134" i="35"/>
  <c r="B135" i="35"/>
  <c r="B136" i="35"/>
  <c r="B142" i="35"/>
  <c r="B155" i="35" s="1"/>
  <c r="B173" i="35" s="1"/>
  <c r="B147" i="35"/>
  <c r="B148" i="35"/>
  <c r="B150" i="35"/>
  <c r="B151" i="35"/>
  <c r="B153" i="35"/>
  <c r="B154" i="35"/>
  <c r="B163" i="35"/>
  <c r="B166" i="35"/>
  <c r="B167" i="35"/>
  <c r="B181" i="35"/>
  <c r="B182" i="35"/>
  <c r="B183" i="35"/>
  <c r="B184" i="35" s="1"/>
  <c r="B185" i="35"/>
  <c r="B192" i="35"/>
  <c r="B195" i="35"/>
  <c r="B196" i="35"/>
  <c r="B198" i="35"/>
  <c r="B199" i="35" s="1"/>
  <c r="B200" i="35"/>
  <c r="B201" i="35"/>
  <c r="B203" i="35"/>
  <c r="B204" i="35" s="1"/>
  <c r="B207" i="35" s="1"/>
  <c r="D5" i="43"/>
  <c r="F12" i="43"/>
  <c r="B13" i="43"/>
  <c r="F13" i="43"/>
  <c r="B16" i="43"/>
  <c r="D16" i="43"/>
  <c r="F16" i="43"/>
  <c r="D17" i="43"/>
  <c r="F17" i="43"/>
  <c r="D19" i="43"/>
  <c r="B26" i="43"/>
  <c r="B30" i="43" s="1"/>
  <c r="B33" i="43"/>
  <c r="B39" i="43"/>
  <c r="C39" i="43"/>
  <c r="B40" i="43"/>
  <c r="C40" i="43"/>
  <c r="B44" i="43"/>
  <c r="C44" i="43"/>
  <c r="B53" i="43"/>
  <c r="B54" i="43"/>
  <c r="B55" i="43"/>
  <c r="B56" i="43"/>
  <c r="B60" i="43" s="1"/>
  <c r="B57" i="43"/>
  <c r="B58" i="43"/>
  <c r="B59" i="43"/>
  <c r="B64" i="43"/>
  <c r="B75" i="43"/>
  <c r="B77" i="43"/>
  <c r="B87" i="43"/>
  <c r="B90" i="43"/>
  <c r="B93" i="43"/>
  <c r="B96" i="43"/>
  <c r="B99" i="43"/>
  <c r="B100" i="43"/>
  <c r="B101" i="43"/>
  <c r="B102" i="43"/>
  <c r="B113" i="43" s="1"/>
  <c r="B114" i="43" s="1"/>
  <c r="B103" i="43"/>
  <c r="B104" i="43"/>
  <c r="B105" i="43"/>
  <c r="B106" i="43"/>
  <c r="B107" i="43"/>
  <c r="B108" i="43"/>
  <c r="B109" i="43"/>
  <c r="B110" i="43"/>
  <c r="B111" i="43"/>
  <c r="B112" i="43"/>
  <c r="B122" i="43"/>
  <c r="B124" i="43"/>
  <c r="B125" i="43"/>
  <c r="B126" i="43" s="1"/>
  <c r="B127" i="43"/>
  <c r="B128" i="43"/>
  <c r="B129" i="43"/>
  <c r="B130" i="43"/>
  <c r="B131" i="43"/>
  <c r="B132" i="43"/>
  <c r="B133" i="43"/>
  <c r="B134" i="43"/>
  <c r="B135" i="43"/>
  <c r="B136" i="43" s="1"/>
  <c r="B170" i="43" s="1"/>
  <c r="B140" i="43"/>
  <c r="B145" i="43"/>
  <c r="B146" i="43" s="1"/>
  <c r="B148" i="43"/>
  <c r="B149" i="43" s="1"/>
  <c r="B151" i="43"/>
  <c r="B152" i="43" s="1"/>
  <c r="B161" i="43"/>
  <c r="B164" i="43"/>
  <c r="B165" i="43"/>
  <c r="B179" i="43"/>
  <c r="B183" i="43" s="1"/>
  <c r="B207" i="43" s="1"/>
  <c r="B181" i="43"/>
  <c r="B182" i="43"/>
  <c r="B190" i="43"/>
  <c r="B192" i="43" s="1"/>
  <c r="B193" i="43"/>
  <c r="B194" i="43"/>
  <c r="B206" i="43"/>
  <c r="B199" i="43"/>
  <c r="B202" i="43"/>
  <c r="B203" i="43" s="1"/>
  <c r="B204" i="43"/>
  <c r="D5" i="36"/>
  <c r="K5" i="36"/>
  <c r="D6" i="36"/>
  <c r="K6" i="36"/>
  <c r="L6" i="36" s="1"/>
  <c r="M31" i="36" s="1"/>
  <c r="K7" i="36"/>
  <c r="L7" i="36" s="1"/>
  <c r="K8" i="36"/>
  <c r="L8" i="36" s="1"/>
  <c r="K9" i="36"/>
  <c r="L9" i="36" s="1"/>
  <c r="K10" i="36"/>
  <c r="L10" i="36" s="1"/>
  <c r="K11" i="36"/>
  <c r="L5" i="36" s="1"/>
  <c r="F12" i="36"/>
  <c r="F17" i="36" s="1"/>
  <c r="B13" i="36"/>
  <c r="F13" i="36"/>
  <c r="M14" i="36"/>
  <c r="I15" i="36"/>
  <c r="M15" i="36"/>
  <c r="D16" i="36"/>
  <c r="F16" i="36"/>
  <c r="D17" i="36"/>
  <c r="I18" i="36"/>
  <c r="K18" i="36"/>
  <c r="D19" i="36"/>
  <c r="K19" i="36"/>
  <c r="M19" i="36"/>
  <c r="M20" i="36" s="1"/>
  <c r="K21" i="36"/>
  <c r="K23" i="36" s="1"/>
  <c r="B26" i="36"/>
  <c r="I28" i="36"/>
  <c r="I32" i="36" s="1"/>
  <c r="I34" i="36" s="1"/>
  <c r="L28" i="36"/>
  <c r="M28" i="36"/>
  <c r="B30" i="36"/>
  <c r="L30" i="36"/>
  <c r="L31" i="36" s="1"/>
  <c r="M30" i="36"/>
  <c r="B33" i="36"/>
  <c r="I35" i="36"/>
  <c r="L37" i="36"/>
  <c r="L38" i="36" s="1"/>
  <c r="L41" i="36" s="1"/>
  <c r="B39" i="36"/>
  <c r="C39" i="36"/>
  <c r="B40" i="36"/>
  <c r="C40" i="36"/>
  <c r="L40" i="36"/>
  <c r="L43" i="36"/>
  <c r="L44" i="36" s="1"/>
  <c r="B44" i="36"/>
  <c r="C44" i="36"/>
  <c r="B53" i="36"/>
  <c r="B54" i="36"/>
  <c r="B55" i="36"/>
  <c r="B56" i="36"/>
  <c r="B60" i="36" s="1"/>
  <c r="B57" i="36"/>
  <c r="B58" i="36"/>
  <c r="B59" i="36"/>
  <c r="B64" i="36"/>
  <c r="B75" i="36"/>
  <c r="B77" i="36"/>
  <c r="B87" i="36"/>
  <c r="B90" i="36"/>
  <c r="B93" i="36"/>
  <c r="B96" i="36"/>
  <c r="B99" i="36"/>
  <c r="B100" i="36"/>
  <c r="B101" i="36"/>
  <c r="B113" i="36" s="1"/>
  <c r="B114" i="36" s="1"/>
  <c r="B102" i="36"/>
  <c r="B103" i="36"/>
  <c r="B104" i="36"/>
  <c r="B105" i="36"/>
  <c r="B106" i="36"/>
  <c r="B107" i="36"/>
  <c r="B108" i="36"/>
  <c r="B109" i="36"/>
  <c r="B110" i="36"/>
  <c r="B111" i="36"/>
  <c r="B112" i="36"/>
  <c r="B118" i="36"/>
  <c r="B122" i="36" s="1"/>
  <c r="B124" i="36"/>
  <c r="B125" i="36" s="1"/>
  <c r="B127" i="36"/>
  <c r="B128" i="36"/>
  <c r="B129" i="36"/>
  <c r="B130" i="36"/>
  <c r="B131" i="36"/>
  <c r="B132" i="36"/>
  <c r="B133" i="36"/>
  <c r="B134" i="36"/>
  <c r="B135" i="36" s="1"/>
  <c r="B143" i="36"/>
  <c r="B145" i="36"/>
  <c r="B146" i="36" s="1"/>
  <c r="B148" i="36"/>
  <c r="B149" i="36" s="1"/>
  <c r="B151" i="36"/>
  <c r="B152" i="36" s="1"/>
  <c r="B161" i="36"/>
  <c r="B164" i="36"/>
  <c r="B165" i="36"/>
  <c r="B208" i="43"/>
  <c r="B208" i="35"/>
  <c r="B31" i="29"/>
  <c r="B33" i="29"/>
  <c r="B206" i="35"/>
  <c r="B43" i="29"/>
  <c r="E8" i="29"/>
  <c r="B79" i="29"/>
  <c r="B153" i="36" l="1"/>
  <c r="B171" i="36" s="1"/>
  <c r="B136" i="36"/>
  <c r="B170" i="36" s="1"/>
  <c r="B126" i="36"/>
  <c r="D12" i="35"/>
  <c r="E11" i="35" s="1"/>
  <c r="I36" i="36"/>
  <c r="B153" i="43"/>
  <c r="B171" i="43" s="1"/>
  <c r="L11" i="36"/>
  <c r="D7" i="36"/>
  <c r="L4" i="36"/>
  <c r="E4" i="29"/>
  <c r="D6" i="43"/>
  <c r="D7" i="40"/>
  <c r="Q34" i="69"/>
  <c r="Q39" i="69" s="1"/>
  <c r="D7" i="43" l="1"/>
  <c r="I17" i="36"/>
  <c r="I20" i="36"/>
  <c r="I23" i="36"/>
  <c r="I49" i="36" s="1"/>
  <c r="D8" i="40"/>
  <c r="E7" i="40"/>
  <c r="B17" i="29"/>
  <c r="B20" i="29"/>
  <c r="B45" i="29" s="1"/>
  <c r="B101" i="29" s="1"/>
  <c r="B14" i="29"/>
  <c r="F17" i="29"/>
  <c r="D8" i="36"/>
  <c r="E12" i="35"/>
  <c r="E4" i="35"/>
  <c r="E10" i="35"/>
  <c r="E6" i="35"/>
  <c r="E8" i="35"/>
  <c r="E5" i="35"/>
  <c r="E9" i="35"/>
  <c r="E7" i="35"/>
  <c r="N15" i="69"/>
  <c r="P23" i="69" s="1"/>
  <c r="J15" i="69"/>
  <c r="P19" i="69" s="1"/>
  <c r="Q15" i="69"/>
  <c r="O15" i="69"/>
  <c r="P25" i="69" s="1"/>
  <c r="M15" i="69"/>
  <c r="P22" i="69" s="1"/>
  <c r="P15" i="69"/>
  <c r="P28" i="69" s="1"/>
  <c r="P29" i="69"/>
  <c r="P27" i="69"/>
  <c r="P31" i="69" l="1"/>
  <c r="P30" i="69"/>
  <c r="B117" i="35"/>
  <c r="B82" i="35"/>
  <c r="B99" i="35"/>
  <c r="B93" i="35"/>
  <c r="B94" i="35" s="1"/>
  <c r="B169" i="35" s="1"/>
  <c r="B80" i="35"/>
  <c r="B168" i="35" s="1"/>
  <c r="B96" i="35"/>
  <c r="B67" i="35"/>
  <c r="B64" i="35"/>
  <c r="B44" i="29"/>
  <c r="B102" i="29" s="1"/>
  <c r="E4" i="40"/>
  <c r="E8" i="40"/>
  <c r="E5" i="40"/>
  <c r="D20" i="40" s="1"/>
  <c r="E6" i="40"/>
  <c r="C47" i="35"/>
  <c r="C43" i="35"/>
  <c r="B43" i="35"/>
  <c r="B44" i="35" s="1"/>
  <c r="B34" i="35"/>
  <c r="B47" i="35"/>
  <c r="B48" i="35" s="1"/>
  <c r="B36" i="35"/>
  <c r="F20" i="35"/>
  <c r="D23" i="35"/>
  <c r="B17" i="35"/>
  <c r="B23" i="35"/>
  <c r="B20" i="35"/>
  <c r="D9" i="36"/>
  <c r="B40" i="40"/>
  <c r="B43" i="40"/>
  <c r="I48" i="36"/>
  <c r="D8" i="43"/>
  <c r="P24" i="69"/>
  <c r="Q19" i="69" s="1"/>
  <c r="P26" i="69"/>
  <c r="Q26" i="69" s="1"/>
  <c r="Q29" i="69"/>
  <c r="D9" i="43" l="1"/>
  <c r="B68" i="35"/>
  <c r="B171" i="35" s="1"/>
  <c r="B14" i="40"/>
  <c r="B17" i="40"/>
  <c r="B20" i="40"/>
  <c r="F17" i="40"/>
  <c r="D10" i="36"/>
  <c r="B69" i="35"/>
  <c r="B170" i="35" s="1"/>
  <c r="B31" i="40"/>
  <c r="B33" i="40"/>
  <c r="C79" i="40"/>
  <c r="C102" i="40" s="1"/>
  <c r="B79" i="40"/>
  <c r="Q32" i="69"/>
  <c r="Q41" i="69" s="1"/>
  <c r="E5" i="36" l="1"/>
  <c r="E4" i="36"/>
  <c r="E10" i="36"/>
  <c r="E6" i="36"/>
  <c r="E7" i="36"/>
  <c r="E8" i="36"/>
  <c r="B45" i="40"/>
  <c r="B101" i="40" s="1"/>
  <c r="B44" i="40"/>
  <c r="B102" i="40" s="1"/>
  <c r="E9" i="36"/>
  <c r="D10" i="43"/>
  <c r="E4" i="43" l="1"/>
  <c r="E10" i="43"/>
  <c r="E5" i="43"/>
  <c r="E6" i="43"/>
  <c r="E7" i="43"/>
  <c r="E8" i="43"/>
  <c r="B62" i="36"/>
  <c r="B65" i="36"/>
  <c r="B21" i="36"/>
  <c r="B15" i="36"/>
  <c r="E9" i="43"/>
  <c r="B94" i="36"/>
  <c r="B78" i="36"/>
  <c r="B166" i="36" s="1"/>
  <c r="B80" i="36"/>
  <c r="B91" i="36"/>
  <c r="B97" i="36"/>
  <c r="B115" i="36"/>
  <c r="B45" i="36"/>
  <c r="B46" i="36" s="1"/>
  <c r="C45" i="36"/>
  <c r="B32" i="36"/>
  <c r="C41" i="36"/>
  <c r="B34" i="36"/>
  <c r="B41" i="36"/>
  <c r="B42" i="36" s="1"/>
  <c r="D21" i="36"/>
  <c r="F18" i="36"/>
  <c r="B66" i="36" l="1"/>
  <c r="B169" i="36" s="1"/>
  <c r="B65" i="43"/>
  <c r="B62" i="43"/>
  <c r="B92" i="36"/>
  <c r="B167" i="36" s="1"/>
  <c r="B94" i="43"/>
  <c r="B78" i="43"/>
  <c r="B166" i="43" s="1"/>
  <c r="B80" i="43"/>
  <c r="B97" i="43"/>
  <c r="B115" i="43"/>
  <c r="B91" i="43"/>
  <c r="B67" i="36"/>
  <c r="B168" i="36" s="1"/>
  <c r="B41" i="43"/>
  <c r="C41" i="43"/>
  <c r="C45" i="43"/>
  <c r="B45" i="43"/>
  <c r="B46" i="43" s="1"/>
  <c r="D21" i="43"/>
  <c r="B32" i="43"/>
  <c r="B34" i="43"/>
  <c r="F18" i="43"/>
  <c r="B15" i="43"/>
  <c r="B18" i="43"/>
  <c r="B21" i="43"/>
  <c r="B67" i="43" l="1"/>
  <c r="B168" i="43" s="1"/>
  <c r="B42" i="43"/>
  <c r="B66" i="43" s="1"/>
  <c r="B169" i="43" s="1"/>
  <c r="B92" i="43"/>
  <c r="B167" i="43" s="1"/>
</calcChain>
</file>

<file path=xl/sharedStrings.xml><?xml version="1.0" encoding="utf-8"?>
<sst xmlns="http://schemas.openxmlformats.org/spreadsheetml/2006/main" count="1194" uniqueCount="331">
  <si>
    <t>Waste%</t>
  </si>
  <si>
    <t>wm</t>
  </si>
  <si>
    <t>Mixing</t>
  </si>
  <si>
    <t>Blow room</t>
  </si>
  <si>
    <t>Carding</t>
  </si>
  <si>
    <t>Drawing</t>
  </si>
  <si>
    <t>Simplex</t>
  </si>
  <si>
    <t>Spinnig</t>
  </si>
  <si>
    <t>Autoconer</t>
  </si>
  <si>
    <t xml:space="preserve">Bale carrier </t>
  </si>
  <si>
    <t>kgs</t>
  </si>
  <si>
    <t>HOK</t>
  </si>
  <si>
    <t>Mix operatives</t>
  </si>
  <si>
    <t>Bale opener HP</t>
  </si>
  <si>
    <t>Prod/ hr</t>
  </si>
  <si>
    <t>UKG</t>
  </si>
  <si>
    <t>Hank</t>
  </si>
  <si>
    <t>Mpm</t>
  </si>
  <si>
    <t>Efficiency</t>
  </si>
  <si>
    <t>Prod/card/hr</t>
  </si>
  <si>
    <t>No of cards</t>
  </si>
  <si>
    <t>Avg/card/HP</t>
  </si>
  <si>
    <t>Hours/day</t>
  </si>
  <si>
    <t>Prod/day</t>
  </si>
  <si>
    <t>Fitter+Helper</t>
  </si>
  <si>
    <t>Total op hrs</t>
  </si>
  <si>
    <t>Avg Unis/hr/card</t>
  </si>
  <si>
    <t>Breaker</t>
  </si>
  <si>
    <t>Finisher</t>
  </si>
  <si>
    <t>Prod/day/m/c</t>
  </si>
  <si>
    <t>Tenter Op.hrs</t>
  </si>
  <si>
    <t>Hok</t>
  </si>
  <si>
    <t>Total hok</t>
  </si>
  <si>
    <t>HP</t>
  </si>
  <si>
    <t>Units/m/c/day</t>
  </si>
  <si>
    <t>Ukg</t>
  </si>
  <si>
    <t>Tot. ukg</t>
  </si>
  <si>
    <t>Tpi</t>
  </si>
  <si>
    <t>Speed</t>
  </si>
  <si>
    <t>Sdle/m/c</t>
  </si>
  <si>
    <t>Doffer</t>
  </si>
  <si>
    <t>Maistry</t>
  </si>
  <si>
    <t>Sweeper</t>
  </si>
  <si>
    <t>Tot.op.hrs/m/c/day</t>
  </si>
  <si>
    <t>Hok upto simplex</t>
  </si>
  <si>
    <t>Ukg upto simplex</t>
  </si>
  <si>
    <t>RING FRAME</t>
  </si>
  <si>
    <t>Actual count</t>
  </si>
  <si>
    <t>TPI</t>
  </si>
  <si>
    <t>Eff(d)</t>
  </si>
  <si>
    <t>Ps =STD GPS</t>
  </si>
  <si>
    <t>Factor</t>
  </si>
  <si>
    <t>Watts/spdl.</t>
  </si>
  <si>
    <t>V2 (Pn+ohtc)</t>
  </si>
  <si>
    <t>Units/day</t>
  </si>
  <si>
    <t>Lighting</t>
  </si>
  <si>
    <t>Compressor</t>
  </si>
  <si>
    <t>Plant &amp; Exhaust</t>
  </si>
  <si>
    <t>Workshop</t>
  </si>
  <si>
    <t>Total</t>
  </si>
  <si>
    <t>Total spdle.</t>
  </si>
  <si>
    <t>Utli.</t>
  </si>
  <si>
    <t>Units/1000/spdles</t>
  </si>
  <si>
    <t>V2 (L+C+Plant+etc.</t>
  </si>
  <si>
    <t>V2</t>
  </si>
  <si>
    <t>Spdle/tenter</t>
  </si>
  <si>
    <t>Tenter hok</t>
  </si>
  <si>
    <t>Pro./day</t>
  </si>
  <si>
    <t>Doffer op.hrs/day</t>
  </si>
  <si>
    <t>Doffer hok</t>
  </si>
  <si>
    <t>Others</t>
  </si>
  <si>
    <t>Doffing maistry</t>
  </si>
  <si>
    <t>Bobbin carrier</t>
  </si>
  <si>
    <t>Full clg</t>
  </si>
  <si>
    <t>Fitter+heleper</t>
  </si>
  <si>
    <t>Buffing</t>
  </si>
  <si>
    <t>Electrical</t>
  </si>
  <si>
    <t>Gardener</t>
  </si>
  <si>
    <t>Work shop</t>
  </si>
  <si>
    <t>Canteen</t>
  </si>
  <si>
    <t>Total Others</t>
  </si>
  <si>
    <t>Others/1000 spdl/shift</t>
  </si>
  <si>
    <t>Others hok</t>
  </si>
  <si>
    <t>Drum/m/c</t>
  </si>
  <si>
    <t>Effi.</t>
  </si>
  <si>
    <t>Pro./m/c/day</t>
  </si>
  <si>
    <t>Units/hr/m/c</t>
  </si>
  <si>
    <t>Plant units/m/c/hr</t>
  </si>
  <si>
    <t>Total Units/m/c/day</t>
  </si>
  <si>
    <t>Tenter Op.hrs/day</t>
  </si>
  <si>
    <t>Empties collect</t>
  </si>
  <si>
    <t>Rewinder</t>
  </si>
  <si>
    <t>Packing</t>
  </si>
  <si>
    <t>Pallet wt.</t>
  </si>
  <si>
    <t>Count</t>
  </si>
  <si>
    <t>Ps</t>
  </si>
  <si>
    <t>V1</t>
  </si>
  <si>
    <t>Fixed ukg</t>
  </si>
  <si>
    <t>HOK upto spg</t>
  </si>
  <si>
    <t>A/c hok</t>
  </si>
  <si>
    <t>Packing hok</t>
  </si>
  <si>
    <r>
      <t>V1 =</t>
    </r>
    <r>
      <rPr>
        <sz val="10"/>
        <rFont val="Arial"/>
        <family val="2"/>
      </rPr>
      <t>R/F UKG</t>
    </r>
  </si>
  <si>
    <t>hok</t>
  </si>
  <si>
    <t xml:space="preserve">COSTING  DETAILS  </t>
  </si>
  <si>
    <t>Lap feed line</t>
  </si>
  <si>
    <t>Lap wt</t>
  </si>
  <si>
    <t>Time/Lap</t>
  </si>
  <si>
    <t>Eff</t>
  </si>
  <si>
    <t>prdn/hr</t>
  </si>
  <si>
    <t>prdn/day</t>
  </si>
  <si>
    <t>units/hr</t>
  </si>
  <si>
    <t>back tenter</t>
  </si>
  <si>
    <t>sc tenter</t>
  </si>
  <si>
    <t>Lap tier</t>
  </si>
  <si>
    <t>sweeper</t>
  </si>
  <si>
    <t>fitter+help</t>
  </si>
  <si>
    <t>Can carrier</t>
  </si>
  <si>
    <t>no.of machines</t>
  </si>
  <si>
    <t>Pn +OHTC H.P</t>
  </si>
  <si>
    <t>Borewell, canteen</t>
  </si>
  <si>
    <t>Running clg</t>
  </si>
  <si>
    <t>Scavanger</t>
  </si>
  <si>
    <t>Security persons</t>
  </si>
  <si>
    <t>Cops carrier</t>
  </si>
  <si>
    <t>Cone carrier</t>
  </si>
  <si>
    <t>fitter + helper</t>
  </si>
  <si>
    <t>Tot .op.hrs/day/ 5machines</t>
  </si>
  <si>
    <t>Carton wt.</t>
  </si>
  <si>
    <t>no.of.cartons/operative</t>
  </si>
  <si>
    <t>Kgs checked</t>
  </si>
  <si>
    <t>operative hours</t>
  </si>
  <si>
    <t>kgs strapped</t>
  </si>
  <si>
    <t>Lable pasting kgs</t>
  </si>
  <si>
    <t>Strapping HP</t>
  </si>
  <si>
    <t>pallets HP</t>
  </si>
  <si>
    <t>Units/container</t>
  </si>
  <si>
    <t>time/pallet mins</t>
  </si>
  <si>
    <t>time/carton min</t>
  </si>
  <si>
    <t>pallets/container</t>
  </si>
  <si>
    <t>cartons/container</t>
  </si>
  <si>
    <t>no.of.operative hrs/pallet</t>
  </si>
  <si>
    <t xml:space="preserve">Packing   cost/kgs </t>
  </si>
  <si>
    <t>AGT Mills</t>
  </si>
  <si>
    <t>Comber</t>
  </si>
  <si>
    <t>Spinning</t>
  </si>
  <si>
    <t>cotton/lycra</t>
  </si>
  <si>
    <t>Lap cards</t>
  </si>
  <si>
    <t>SL / RL</t>
  </si>
  <si>
    <t>wt/mt</t>
  </si>
  <si>
    <t>mpm</t>
  </si>
  <si>
    <t>eff</t>
  </si>
  <si>
    <t>sl</t>
  </si>
  <si>
    <t>rl</t>
  </si>
  <si>
    <t>npm</t>
  </si>
  <si>
    <t>rate of feed</t>
  </si>
  <si>
    <t>waste%</t>
  </si>
  <si>
    <t>prdn/cmr/day</t>
  </si>
  <si>
    <t>no.of.cmbr</t>
  </si>
  <si>
    <t>op/hrs</t>
  </si>
  <si>
    <t>Cards</t>
  </si>
  <si>
    <t>HP/comber</t>
  </si>
  <si>
    <t>count</t>
  </si>
  <si>
    <t>open end</t>
  </si>
  <si>
    <t>O.E</t>
  </si>
  <si>
    <t>Hok upto drawing</t>
  </si>
  <si>
    <t>Ukg upto drawing</t>
  </si>
  <si>
    <t>OPEN END</t>
  </si>
  <si>
    <t>units/m/c/hr</t>
  </si>
  <si>
    <r>
      <t>V1 =O.E</t>
    </r>
    <r>
      <rPr>
        <sz val="10"/>
        <rFont val="Arial"/>
        <family val="2"/>
      </rPr>
      <t xml:space="preserve"> UKG</t>
    </r>
  </si>
  <si>
    <t>no.of.rotors/m/c</t>
  </si>
  <si>
    <t>Total rotors</t>
  </si>
  <si>
    <t>Units/1000/rotors</t>
  </si>
  <si>
    <t>Fitter+helper</t>
  </si>
  <si>
    <t>Cheese carrier</t>
  </si>
  <si>
    <t>Sider</t>
  </si>
  <si>
    <t>cleaning</t>
  </si>
  <si>
    <t>Total operative hrs</t>
  </si>
  <si>
    <t>Others/1000 rotor/shift</t>
  </si>
  <si>
    <t>20s VSF</t>
  </si>
  <si>
    <t>20s SF</t>
  </si>
  <si>
    <t>TFO</t>
  </si>
  <si>
    <t>COUNT</t>
  </si>
  <si>
    <t>tpi</t>
  </si>
  <si>
    <t>no.of.machines</t>
  </si>
  <si>
    <t>Doubler winding</t>
  </si>
  <si>
    <t>act.count</t>
  </si>
  <si>
    <t>no.of.drums</t>
  </si>
  <si>
    <t>prdn/frame/shift</t>
  </si>
  <si>
    <t>units/shift</t>
  </si>
  <si>
    <t>Doubling</t>
  </si>
  <si>
    <t>no.of.spdle/frm</t>
  </si>
  <si>
    <t>speed</t>
  </si>
  <si>
    <t>prdn/frame/day</t>
  </si>
  <si>
    <t>units/frame/day</t>
  </si>
  <si>
    <t>Winding</t>
  </si>
  <si>
    <t>drums</t>
  </si>
  <si>
    <t>prdn/shift</t>
  </si>
  <si>
    <t>operat.hrs/shift</t>
  </si>
  <si>
    <t>Pd</t>
  </si>
  <si>
    <t>total hok</t>
  </si>
  <si>
    <t>total ukg</t>
  </si>
  <si>
    <t>Pt</t>
  </si>
  <si>
    <t>Tot .op.hrs/day/ machines</t>
  </si>
  <si>
    <t>Doubler winding (peas)</t>
  </si>
  <si>
    <t>2/20s</t>
  </si>
  <si>
    <t>32s O.E</t>
  </si>
  <si>
    <t>Bag wt.</t>
  </si>
  <si>
    <t>no.of.bags/operative</t>
  </si>
  <si>
    <t>Micro Modal</t>
  </si>
  <si>
    <t>16s M/C</t>
  </si>
  <si>
    <t>FLEECE</t>
  </si>
  <si>
    <t>Operative hours</t>
  </si>
  <si>
    <t xml:space="preserve">MODAL </t>
  </si>
  <si>
    <t>16s MODAL/COTTON(50/50)</t>
  </si>
  <si>
    <t>30s O.E II Q</t>
  </si>
  <si>
    <t>31s O.E II Q</t>
  </si>
  <si>
    <t>80s Micro Modal</t>
  </si>
  <si>
    <t>2/80s Micro Modal</t>
  </si>
  <si>
    <t>2/80s Mic.Modal</t>
  </si>
  <si>
    <t xml:space="preserve">Pre Opener </t>
  </si>
  <si>
    <t>Wm</t>
  </si>
  <si>
    <t>MPM</t>
  </si>
  <si>
    <t>Department</t>
  </si>
  <si>
    <t>Exhaust</t>
  </si>
  <si>
    <t>Eff %</t>
  </si>
  <si>
    <t>Kgs / Hr</t>
  </si>
  <si>
    <t>Utili %</t>
  </si>
  <si>
    <t xml:space="preserve"> Total Kgs</t>
  </si>
  <si>
    <t>per Day</t>
  </si>
  <si>
    <t xml:space="preserve">Units / </t>
  </si>
  <si>
    <t>Hour</t>
  </si>
  <si>
    <t>-</t>
  </si>
  <si>
    <t>Gms / Spl</t>
  </si>
  <si>
    <t>MF</t>
  </si>
  <si>
    <t>RF No.</t>
  </si>
  <si>
    <t>Spls.</t>
  </si>
  <si>
    <t>Waste %</t>
  </si>
  <si>
    <t>Individual</t>
  </si>
  <si>
    <t>Overall</t>
  </si>
  <si>
    <t>Ring Frame</t>
  </si>
  <si>
    <t>RFs.</t>
  </si>
  <si>
    <t xml:space="preserve">No.of </t>
  </si>
  <si>
    <t>Delivery</t>
  </si>
  <si>
    <t>OHTC</t>
  </si>
  <si>
    <t>Drums</t>
  </si>
  <si>
    <t>Machine</t>
  </si>
  <si>
    <t>AC  1</t>
  </si>
  <si>
    <t>AC 2</t>
  </si>
  <si>
    <t>Nos.</t>
  </si>
  <si>
    <t>R.F.No.</t>
  </si>
  <si>
    <t>Main</t>
  </si>
  <si>
    <t>Motor</t>
  </si>
  <si>
    <t>Type of</t>
  </si>
  <si>
    <t>Drive</t>
  </si>
  <si>
    <t>Dia in "</t>
  </si>
  <si>
    <t>ABS Pulley</t>
  </si>
  <si>
    <t>Spl. wharve</t>
  </si>
  <si>
    <t>Ring Tube</t>
  </si>
  <si>
    <t>Ht. in mm</t>
  </si>
  <si>
    <t xml:space="preserve">Ring </t>
  </si>
  <si>
    <t>Dia in mm</t>
  </si>
  <si>
    <t>S.Speed</t>
  </si>
  <si>
    <t>Make</t>
  </si>
  <si>
    <t>Date :</t>
  </si>
  <si>
    <t>Std = 0.00</t>
  </si>
  <si>
    <t>EE = 3.00%</t>
  </si>
  <si>
    <t>V/T Belt = 0.00</t>
  </si>
  <si>
    <t>Flat = 3.00%</t>
  </si>
  <si>
    <t>1 Inch = 2.00%</t>
  </si>
  <si>
    <t>1 MM = 1.00%</t>
  </si>
  <si>
    <t xml:space="preserve"> 10 MM = 1.00%</t>
  </si>
  <si>
    <t>1 MM = 2.00%</t>
  </si>
  <si>
    <t>AC 3</t>
  </si>
  <si>
    <t xml:space="preserve">Simplex </t>
  </si>
  <si>
    <t>Efficiency %</t>
  </si>
  <si>
    <t>Motor Eff %</t>
  </si>
  <si>
    <t xml:space="preserve">                              - OHTC</t>
  </si>
  <si>
    <t>Blow Room</t>
  </si>
  <si>
    <t>Auto Coner</t>
  </si>
  <si>
    <t>YR % ( For UKG Calculation only )</t>
  </si>
  <si>
    <t>SPINNING DATAS</t>
  </si>
  <si>
    <t xml:space="preserve">Spinning Modernisation Factor </t>
  </si>
  <si>
    <t>PREPARATORY DATAS</t>
  </si>
  <si>
    <t>Spl.Speed</t>
  </si>
  <si>
    <t>T.P.I</t>
  </si>
  <si>
    <t>Motor Eff. %</t>
  </si>
  <si>
    <t>KW</t>
  </si>
  <si>
    <t>Pne. KW</t>
  </si>
  <si>
    <t>OHTC KW</t>
  </si>
  <si>
    <t>Motor Eff.%</t>
  </si>
  <si>
    <t>Description</t>
  </si>
  <si>
    <t>No.of M/cs.</t>
  </si>
  <si>
    <t>Load Eff %</t>
  </si>
  <si>
    <t>Units / Day</t>
  </si>
  <si>
    <t>Overall UKG</t>
  </si>
  <si>
    <t>VXL System</t>
  </si>
  <si>
    <t>Blow room &amp; Carding</t>
  </si>
  <si>
    <t>Air Compressor</t>
  </si>
  <si>
    <t>Humidifcation Plant</t>
  </si>
  <si>
    <t>Lightings</t>
  </si>
  <si>
    <t>Utility</t>
  </si>
  <si>
    <t>UTILITIES</t>
  </si>
  <si>
    <t>Utilities</t>
  </si>
  <si>
    <t>Total Spindles</t>
  </si>
  <si>
    <t>Date</t>
  </si>
  <si>
    <t>Pneumafil</t>
  </si>
  <si>
    <t>@ Utili</t>
  </si>
  <si>
    <t>`</t>
  </si>
  <si>
    <t>Kgs / Day</t>
  </si>
  <si>
    <t>No.of RFs</t>
  </si>
  <si>
    <t>Utilization %</t>
  </si>
  <si>
    <t>Eff. %</t>
  </si>
  <si>
    <t>Preopener</t>
  </si>
  <si>
    <t>No of Del.</t>
  </si>
  <si>
    <t>M/c. No.</t>
  </si>
  <si>
    <t>Kgs. / Hour</t>
  </si>
  <si>
    <t xml:space="preserve">Count Contribution </t>
  </si>
  <si>
    <t>Allotted Spindles</t>
  </si>
  <si>
    <t>Drawing Breaker</t>
  </si>
  <si>
    <t>Drawing Finisher</t>
  </si>
  <si>
    <t>LR63AX</t>
  </si>
  <si>
    <t>"</t>
  </si>
  <si>
    <t>LR60A</t>
  </si>
  <si>
    <t>LR9AX</t>
  </si>
  <si>
    <t>AC 4</t>
  </si>
  <si>
    <t>All</t>
  </si>
  <si>
    <t>Drawing Br</t>
  </si>
  <si>
    <t>Drawing Fr</t>
  </si>
  <si>
    <t>Pneuma KW</t>
  </si>
  <si>
    <t>BR &amp; Carding</t>
  </si>
  <si>
    <t>EXPECTED UKG - NE 40/1 KW (SAMPLE)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</si>
</sst>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"/>
    <numFmt numFmtId="165" formatCode="0.0000"/>
    <numFmt numFmtId="166" formatCode="0.0"/>
    <numFmt numFmtId="167" formatCode="0.00000"/>
    <numFmt numFmtId="168" formatCode="[$-409]d\-mmm\-yy;@"/>
    <numFmt numFmtId="169" formatCode="0.000000"/>
  </numFmts>
  <fonts count="2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10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name val="Bookman Old Style"/>
      <family val="1"/>
    </font>
    <font>
      <sz val="11"/>
      <name val="Bookman Old Style"/>
      <family val="1"/>
    </font>
    <font>
      <b/>
      <u/>
      <sz val="10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sz val="9"/>
      <color rgb="FF0000FF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b/>
      <u/>
      <sz val="12"/>
      <name val="Arial"/>
      <family val="2"/>
    </font>
    <font>
      <b/>
      <sz val="10"/>
      <color rgb="FFC00000"/>
      <name val="Arial"/>
      <family val="2"/>
    </font>
    <font>
      <b/>
      <sz val="12"/>
      <color rgb="FFC00000"/>
      <name val="Arial"/>
      <family val="2"/>
    </font>
    <font>
      <b/>
      <u/>
      <sz val="11"/>
      <name val="Arial"/>
      <family val="2"/>
    </font>
    <font>
      <b/>
      <sz val="9"/>
      <color rgb="FFC00000"/>
      <name val="Arial"/>
      <family val="2"/>
    </font>
    <font>
      <sz val="9"/>
      <name val="Arial"/>
      <family val="2"/>
    </font>
    <font>
      <b/>
      <sz val="11"/>
      <color rgb="FF0000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9" fontId="8" fillId="0" borderId="0" applyFont="0" applyFill="0" applyBorder="0" applyAlignment="0" applyProtection="0"/>
  </cellStyleXfs>
  <cellXfs count="37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164" fontId="0" fillId="0" borderId="2" xfId="0" applyNumberFormat="1" applyBorder="1"/>
    <xf numFmtId="2" fontId="0" fillId="0" borderId="1" xfId="0" applyNumberFormat="1" applyBorder="1"/>
    <xf numFmtId="0" fontId="2" fillId="0" borderId="0" xfId="0" applyFont="1"/>
    <xf numFmtId="165" fontId="2" fillId="0" borderId="0" xfId="0" applyNumberFormat="1" applyFont="1"/>
    <xf numFmtId="0" fontId="3" fillId="0" borderId="0" xfId="0" applyFont="1"/>
    <xf numFmtId="2" fontId="0" fillId="0" borderId="0" xfId="0" applyNumberFormat="1"/>
    <xf numFmtId="166" fontId="0" fillId="0" borderId="0" xfId="0" applyNumberFormat="1"/>
    <xf numFmtId="1" fontId="0" fillId="0" borderId="0" xfId="0" applyNumberFormat="1"/>
    <xf numFmtId="164" fontId="2" fillId="0" borderId="0" xfId="0" applyNumberFormat="1" applyFont="1"/>
    <xf numFmtId="0" fontId="0" fillId="0" borderId="0" xfId="0" applyAlignment="1">
      <alignment horizontal="center"/>
    </xf>
    <xf numFmtId="164" fontId="0" fillId="0" borderId="0" xfId="0" applyNumberFormat="1"/>
    <xf numFmtId="166" fontId="3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 applyBorder="1"/>
    <xf numFmtId="2" fontId="0" fillId="0" borderId="0" xfId="0" applyNumberFormat="1" applyBorder="1"/>
    <xf numFmtId="0" fontId="0" fillId="0" borderId="6" xfId="0" applyBorder="1"/>
    <xf numFmtId="0" fontId="0" fillId="0" borderId="0" xfId="0" applyAlignment="1">
      <alignment horizontal="right"/>
    </xf>
    <xf numFmtId="0" fontId="2" fillId="0" borderId="1" xfId="0" applyFont="1" applyBorder="1"/>
    <xf numFmtId="165" fontId="3" fillId="0" borderId="0" xfId="0" applyNumberFormat="1" applyFont="1"/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2" borderId="1" xfId="0" applyFont="1" applyFill="1" applyBorder="1"/>
    <xf numFmtId="0" fontId="2" fillId="0" borderId="3" xfId="0" applyFont="1" applyBorder="1"/>
    <xf numFmtId="0" fontId="0" fillId="0" borderId="7" xfId="0" applyBorder="1"/>
    <xf numFmtId="0" fontId="0" fillId="0" borderId="8" xfId="0" applyBorder="1"/>
    <xf numFmtId="0" fontId="2" fillId="0" borderId="5" xfId="0" applyFont="1" applyBorder="1"/>
    <xf numFmtId="165" fontId="2" fillId="0" borderId="8" xfId="0" applyNumberFormat="1" applyFont="1" applyBorder="1"/>
    <xf numFmtId="0" fontId="2" fillId="0" borderId="9" xfId="0" applyFont="1" applyBorder="1"/>
    <xf numFmtId="165" fontId="2" fillId="0" borderId="10" xfId="0" applyNumberFormat="1" applyFont="1" applyBorder="1"/>
    <xf numFmtId="1" fontId="0" fillId="0" borderId="0" xfId="0" applyNumberFormat="1" applyBorder="1"/>
    <xf numFmtId="0" fontId="3" fillId="0" borderId="8" xfId="0" applyFont="1" applyBorder="1"/>
    <xf numFmtId="165" fontId="3" fillId="0" borderId="8" xfId="0" applyNumberFormat="1" applyFont="1" applyBorder="1"/>
    <xf numFmtId="165" fontId="2" fillId="0" borderId="6" xfId="0" applyNumberFormat="1" applyFont="1" applyBorder="1"/>
    <xf numFmtId="0" fontId="0" fillId="0" borderId="10" xfId="0" applyBorder="1"/>
    <xf numFmtId="0" fontId="2" fillId="0" borderId="7" xfId="0" applyFont="1" applyBorder="1"/>
    <xf numFmtId="0" fontId="3" fillId="0" borderId="5" xfId="0" applyFont="1" applyBorder="1"/>
    <xf numFmtId="2" fontId="0" fillId="0" borderId="8" xfId="0" applyNumberFormat="1" applyBorder="1"/>
    <xf numFmtId="1" fontId="0" fillId="0" borderId="8" xfId="0" applyNumberFormat="1" applyBorder="1"/>
    <xf numFmtId="166" fontId="0" fillId="0" borderId="8" xfId="0" applyNumberFormat="1" applyBorder="1"/>
    <xf numFmtId="165" fontId="0" fillId="0" borderId="8" xfId="0" applyNumberFormat="1" applyBorder="1"/>
    <xf numFmtId="2" fontId="0" fillId="0" borderId="5" xfId="0" applyNumberFormat="1" applyBorder="1"/>
    <xf numFmtId="1" fontId="0" fillId="0" borderId="5" xfId="0" applyNumberFormat="1" applyBorder="1"/>
    <xf numFmtId="165" fontId="3" fillId="0" borderId="5" xfId="0" applyNumberFormat="1" applyFont="1" applyBorder="1"/>
    <xf numFmtId="0" fontId="0" fillId="0" borderId="8" xfId="0" applyBorder="1" applyAlignment="1">
      <alignment horizontal="center"/>
    </xf>
    <xf numFmtId="1" fontId="0" fillId="0" borderId="8" xfId="0" applyNumberFormat="1" applyBorder="1" applyAlignment="1">
      <alignment horizontal="center"/>
    </xf>
    <xf numFmtId="164" fontId="0" fillId="0" borderId="8" xfId="0" applyNumberFormat="1" applyBorder="1"/>
    <xf numFmtId="1" fontId="3" fillId="0" borderId="8" xfId="0" applyNumberFormat="1" applyFont="1" applyBorder="1" applyAlignment="1">
      <alignment horizontal="center"/>
    </xf>
    <xf numFmtId="165" fontId="3" fillId="0" borderId="8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64" fontId="0" fillId="0" borderId="13" xfId="0" applyNumberFormat="1" applyBorder="1"/>
    <xf numFmtId="166" fontId="3" fillId="0" borderId="11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65" fontId="3" fillId="0" borderId="12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9" xfId="0" applyFont="1" applyBorder="1"/>
    <xf numFmtId="164" fontId="0" fillId="0" borderId="10" xfId="0" applyNumberFormat="1" applyBorder="1"/>
    <xf numFmtId="0" fontId="3" fillId="0" borderId="3" xfId="0" applyFont="1" applyBorder="1"/>
    <xf numFmtId="166" fontId="3" fillId="0" borderId="7" xfId="0" applyNumberFormat="1" applyFont="1" applyBorder="1" applyAlignment="1">
      <alignment horizontal="right"/>
    </xf>
    <xf numFmtId="166" fontId="3" fillId="0" borderId="7" xfId="0" applyNumberFormat="1" applyFont="1" applyBorder="1" applyAlignment="1">
      <alignment horizontal="center"/>
    </xf>
    <xf numFmtId="164" fontId="2" fillId="0" borderId="8" xfId="0" applyNumberFormat="1" applyFont="1" applyBorder="1"/>
    <xf numFmtId="0" fontId="2" fillId="0" borderId="4" xfId="0" applyFont="1" applyBorder="1"/>
    <xf numFmtId="0" fontId="2" fillId="0" borderId="11" xfId="0" applyFont="1" applyBorder="1"/>
    <xf numFmtId="0" fontId="3" fillId="0" borderId="12" xfId="0" applyFont="1" applyBorder="1"/>
    <xf numFmtId="0" fontId="2" fillId="0" borderId="12" xfId="0" applyFont="1" applyBorder="1"/>
    <xf numFmtId="0" fontId="2" fillId="0" borderId="13" xfId="0" applyFont="1" applyBorder="1"/>
    <xf numFmtId="0" fontId="0" fillId="0" borderId="12" xfId="0" applyBorder="1"/>
    <xf numFmtId="2" fontId="2" fillId="0" borderId="12" xfId="0" applyNumberFormat="1" applyFont="1" applyBorder="1"/>
    <xf numFmtId="0" fontId="4" fillId="2" borderId="12" xfId="0" applyFont="1" applyFill="1" applyBorder="1"/>
    <xf numFmtId="165" fontId="0" fillId="0" borderId="12" xfId="0" applyNumberFormat="1" applyBorder="1"/>
    <xf numFmtId="165" fontId="2" fillId="0" borderId="12" xfId="0" applyNumberFormat="1" applyFont="1" applyBorder="1"/>
    <xf numFmtId="0" fontId="1" fillId="0" borderId="12" xfId="0" applyFont="1" applyFill="1" applyBorder="1"/>
    <xf numFmtId="2" fontId="0" fillId="0" borderId="12" xfId="0" applyNumberFormat="1" applyBorder="1"/>
    <xf numFmtId="164" fontId="2" fillId="0" borderId="12" xfId="0" applyNumberFormat="1" applyFont="1" applyBorder="1"/>
    <xf numFmtId="1" fontId="0" fillId="0" borderId="12" xfId="0" applyNumberFormat="1" applyBorder="1"/>
    <xf numFmtId="165" fontId="2" fillId="0" borderId="13" xfId="0" applyNumberFormat="1" applyFont="1" applyBorder="1"/>
    <xf numFmtId="0" fontId="0" fillId="0" borderId="11" xfId="0" applyBorder="1" applyAlignment="1">
      <alignment horizontal="center"/>
    </xf>
    <xf numFmtId="2" fontId="2" fillId="0" borderId="8" xfId="0" applyNumberFormat="1" applyFont="1" applyBorder="1"/>
    <xf numFmtId="164" fontId="2" fillId="0" borderId="13" xfId="0" applyNumberFormat="1" applyFont="1" applyBorder="1"/>
    <xf numFmtId="164" fontId="0" fillId="0" borderId="12" xfId="0" applyNumberFormat="1" applyBorder="1"/>
    <xf numFmtId="165" fontId="2" fillId="0" borderId="8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4" fillId="0" borderId="0" xfId="0" applyFont="1" applyFill="1"/>
    <xf numFmtId="166" fontId="0" fillId="0" borderId="0" xfId="0" applyNumberFormat="1" applyBorder="1"/>
    <xf numFmtId="165" fontId="2" fillId="0" borderId="5" xfId="0" applyNumberFormat="1" applyFont="1" applyBorder="1"/>
    <xf numFmtId="165" fontId="2" fillId="0" borderId="9" xfId="0" applyNumberFormat="1" applyFont="1" applyBorder="1"/>
    <xf numFmtId="0" fontId="2" fillId="0" borderId="10" xfId="0" applyFont="1" applyBorder="1"/>
    <xf numFmtId="0" fontId="2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2" xfId="0" applyBorder="1" applyAlignment="1">
      <alignment horizontal="right"/>
    </xf>
    <xf numFmtId="1" fontId="0" fillId="0" borderId="12" xfId="0" applyNumberForma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166" fontId="3" fillId="0" borderId="12" xfId="0" applyNumberFormat="1" applyFont="1" applyBorder="1" applyAlignment="1">
      <alignment horizontal="right"/>
    </xf>
    <xf numFmtId="1" fontId="3" fillId="0" borderId="12" xfId="0" applyNumberFormat="1" applyFont="1" applyBorder="1" applyAlignment="1">
      <alignment horizontal="right"/>
    </xf>
    <xf numFmtId="165" fontId="2" fillId="0" borderId="13" xfId="0" applyNumberFormat="1" applyFont="1" applyBorder="1" applyAlignment="1">
      <alignment horizontal="right"/>
    </xf>
    <xf numFmtId="0" fontId="0" fillId="0" borderId="11" xfId="0" applyBorder="1" applyAlignment="1">
      <alignment horizontal="right"/>
    </xf>
    <xf numFmtId="1" fontId="3" fillId="0" borderId="12" xfId="0" applyNumberFormat="1" applyFont="1" applyBorder="1"/>
    <xf numFmtId="2" fontId="2" fillId="0" borderId="7" xfId="0" applyNumberFormat="1" applyFont="1" applyBorder="1" applyAlignment="1">
      <alignment horizontal="center"/>
    </xf>
    <xf numFmtId="0" fontId="4" fillId="3" borderId="12" xfId="0" applyFont="1" applyFill="1" applyBorder="1"/>
    <xf numFmtId="0" fontId="2" fillId="0" borderId="10" xfId="0" applyFont="1" applyBorder="1" applyAlignment="1">
      <alignment horizontal="center"/>
    </xf>
    <xf numFmtId="0" fontId="5" fillId="0" borderId="0" xfId="0" applyFont="1" applyFill="1" applyBorder="1"/>
    <xf numFmtId="0" fontId="5" fillId="0" borderId="8" xfId="0" applyFont="1" applyFill="1" applyBorder="1"/>
    <xf numFmtId="2" fontId="5" fillId="0" borderId="8" xfId="0" applyNumberFormat="1" applyFont="1" applyFill="1" applyBorder="1"/>
    <xf numFmtId="2" fontId="5" fillId="0" borderId="0" xfId="0" applyNumberFormat="1" applyFont="1" applyFill="1"/>
    <xf numFmtId="0" fontId="6" fillId="2" borderId="8" xfId="0" applyFont="1" applyFill="1" applyBorder="1"/>
    <xf numFmtId="0" fontId="6" fillId="2" borderId="0" xfId="0" applyFont="1" applyFill="1"/>
    <xf numFmtId="0" fontId="5" fillId="0" borderId="0" xfId="0" applyFont="1" applyFill="1"/>
    <xf numFmtId="164" fontId="2" fillId="0" borderId="10" xfId="0" applyNumberFormat="1" applyFont="1" applyBorder="1"/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2" fontId="0" fillId="0" borderId="12" xfId="0" applyNumberFormat="1" applyBorder="1" applyAlignment="1">
      <alignment horizontal="right"/>
    </xf>
    <xf numFmtId="0" fontId="2" fillId="0" borderId="0" xfId="0" applyFont="1" applyBorder="1" applyAlignment="1">
      <alignment horizontal="center"/>
    </xf>
    <xf numFmtId="165" fontId="2" fillId="0" borderId="11" xfId="0" applyNumberFormat="1" applyFont="1" applyBorder="1"/>
    <xf numFmtId="0" fontId="0" fillId="0" borderId="12" xfId="0" applyFont="1" applyFill="1" applyBorder="1"/>
    <xf numFmtId="0" fontId="0" fillId="0" borderId="12" xfId="0" applyFill="1" applyBorder="1"/>
    <xf numFmtId="0" fontId="2" fillId="0" borderId="8" xfId="0" applyFont="1" applyBorder="1"/>
    <xf numFmtId="0" fontId="3" fillId="0" borderId="12" xfId="0" applyFont="1" applyFill="1" applyBorder="1"/>
    <xf numFmtId="0" fontId="0" fillId="0" borderId="13" xfId="0" applyFont="1" applyFill="1" applyBorder="1"/>
    <xf numFmtId="0" fontId="0" fillId="0" borderId="13" xfId="0" applyFill="1" applyBorder="1"/>
    <xf numFmtId="165" fontId="2" fillId="0" borderId="0" xfId="0" applyNumberFormat="1" applyFont="1" applyBorder="1"/>
    <xf numFmtId="164" fontId="2" fillId="0" borderId="0" xfId="0" applyNumberFormat="1" applyFont="1" applyBorder="1"/>
    <xf numFmtId="0" fontId="6" fillId="0" borderId="12" xfId="0" applyFont="1" applyFill="1" applyBorder="1"/>
    <xf numFmtId="0" fontId="4" fillId="0" borderId="12" xfId="0" applyFont="1" applyFill="1" applyBorder="1"/>
    <xf numFmtId="0" fontId="7" fillId="0" borderId="8" xfId="0" applyFont="1" applyFill="1" applyBorder="1"/>
    <xf numFmtId="2" fontId="7" fillId="0" borderId="8" xfId="0" applyNumberFormat="1" applyFont="1" applyFill="1" applyBorder="1"/>
    <xf numFmtId="1" fontId="0" fillId="0" borderId="12" xfId="0" applyNumberFormat="1" applyFill="1" applyBorder="1"/>
    <xf numFmtId="165" fontId="3" fillId="0" borderId="0" xfId="0" applyNumberFormat="1" applyFont="1" applyBorder="1"/>
    <xf numFmtId="0" fontId="3" fillId="0" borderId="0" xfId="0" applyFont="1" applyFill="1"/>
    <xf numFmtId="2" fontId="3" fillId="0" borderId="0" xfId="0" applyNumberFormat="1" applyFont="1" applyFill="1"/>
    <xf numFmtId="0" fontId="3" fillId="0" borderId="0" xfId="0" applyFont="1" applyFill="1" applyBorder="1"/>
    <xf numFmtId="0" fontId="3" fillId="0" borderId="8" xfId="0" applyFont="1" applyFill="1" applyBorder="1"/>
    <xf numFmtId="0" fontId="7" fillId="0" borderId="12" xfId="0" applyFont="1" applyFill="1" applyBorder="1"/>
    <xf numFmtId="2" fontId="7" fillId="0" borderId="0" xfId="0" applyNumberFormat="1" applyFont="1" applyFill="1"/>
    <xf numFmtId="2" fontId="7" fillId="0" borderId="12" xfId="0" applyNumberFormat="1" applyFont="1" applyFill="1" applyBorder="1"/>
    <xf numFmtId="0" fontId="7" fillId="0" borderId="0" xfId="0" applyFont="1" applyFill="1"/>
    <xf numFmtId="2" fontId="7" fillId="0" borderId="0" xfId="0" applyNumberFormat="1" applyFont="1" applyFill="1" applyBorder="1"/>
    <xf numFmtId="0" fontId="7" fillId="3" borderId="0" xfId="0" applyFont="1" applyFill="1"/>
    <xf numFmtId="0" fontId="3" fillId="0" borderId="11" xfId="0" applyFont="1" applyBorder="1" applyAlignment="1">
      <alignment horizontal="center"/>
    </xf>
    <xf numFmtId="2" fontId="3" fillId="0" borderId="5" xfId="0" applyNumberFormat="1" applyFont="1" applyFill="1" applyBorder="1"/>
    <xf numFmtId="0" fontId="9" fillId="0" borderId="0" xfId="0" applyFont="1"/>
    <xf numFmtId="0" fontId="7" fillId="0" borderId="0" xfId="0" applyFont="1" applyFill="1" applyBorder="1"/>
    <xf numFmtId="0" fontId="10" fillId="0" borderId="0" xfId="0" applyFont="1"/>
    <xf numFmtId="0" fontId="12" fillId="0" borderId="0" xfId="0" applyFont="1"/>
    <xf numFmtId="0" fontId="12" fillId="0" borderId="0" xfId="0" applyFont="1" applyFill="1" applyBorder="1"/>
    <xf numFmtId="2" fontId="12" fillId="0" borderId="0" xfId="0" applyNumberFormat="1" applyFont="1" applyFill="1" applyBorder="1"/>
    <xf numFmtId="2" fontId="13" fillId="0" borderId="0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2" fontId="14" fillId="0" borderId="0" xfId="0" applyNumberFormat="1" applyFont="1" applyFill="1" applyBorder="1" applyAlignment="1">
      <alignment horizontal="center"/>
    </xf>
    <xf numFmtId="164" fontId="12" fillId="0" borderId="0" xfId="0" applyNumberFormat="1" applyFont="1" applyFill="1" applyBorder="1"/>
    <xf numFmtId="2" fontId="15" fillId="0" borderId="0" xfId="0" applyNumberFormat="1" applyFont="1" applyFill="1" applyBorder="1"/>
    <xf numFmtId="2" fontId="12" fillId="0" borderId="0" xfId="0" applyNumberFormat="1" applyFont="1" applyFill="1"/>
    <xf numFmtId="0" fontId="12" fillId="0" borderId="0" xfId="0" applyFont="1" applyFill="1"/>
    <xf numFmtId="2" fontId="12" fillId="0" borderId="0" xfId="0" applyNumberFormat="1" applyFont="1"/>
    <xf numFmtId="0" fontId="13" fillId="0" borderId="0" xfId="0" applyFont="1" applyFill="1" applyBorder="1" applyAlignment="1">
      <alignment vertical="center"/>
    </xf>
    <xf numFmtId="0" fontId="12" fillId="0" borderId="0" xfId="0" applyFont="1" applyBorder="1"/>
    <xf numFmtId="0" fontId="17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2" fontId="17" fillId="0" borderId="13" xfId="0" applyNumberFormat="1" applyFont="1" applyBorder="1" applyAlignment="1">
      <alignment horizontal="center"/>
    </xf>
    <xf numFmtId="2" fontId="17" fillId="0" borderId="1" xfId="0" applyNumberFormat="1" applyFont="1" applyBorder="1" applyAlignment="1">
      <alignment horizontal="center"/>
    </xf>
    <xf numFmtId="2" fontId="17" fillId="0" borderId="1" xfId="0" quotePrefix="1" applyNumberFormat="1" applyFont="1" applyBorder="1" applyAlignment="1">
      <alignment horizontal="center"/>
    </xf>
    <xf numFmtId="0" fontId="17" fillId="0" borderId="6" xfId="0" applyFont="1" applyBorder="1" applyAlignment="1"/>
    <xf numFmtId="0" fontId="3" fillId="0" borderId="1" xfId="0" applyFont="1" applyBorder="1"/>
    <xf numFmtId="2" fontId="17" fillId="0" borderId="13" xfId="0" quotePrefix="1" applyNumberFormat="1" applyFont="1" applyBorder="1" applyAlignment="1">
      <alignment horizontal="center"/>
    </xf>
    <xf numFmtId="0" fontId="17" fillId="4" borderId="11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2" fontId="17" fillId="4" borderId="1" xfId="0" applyNumberFormat="1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2" fontId="17" fillId="0" borderId="0" xfId="0" applyNumberFormat="1" applyFont="1" applyFill="1" applyBorder="1" applyAlignment="1">
      <alignment horizontal="center"/>
    </xf>
    <xf numFmtId="165" fontId="19" fillId="0" borderId="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2" fontId="3" fillId="0" borderId="11" xfId="0" applyNumberFormat="1" applyFont="1" applyFill="1" applyBorder="1" applyAlignment="1">
      <alignment horizontal="center"/>
    </xf>
    <xf numFmtId="2" fontId="20" fillId="0" borderId="11" xfId="0" applyNumberFormat="1" applyFont="1" applyFill="1" applyBorder="1" applyAlignment="1">
      <alignment horizontal="center"/>
    </xf>
    <xf numFmtId="164" fontId="20" fillId="0" borderId="1" xfId="0" applyNumberFormat="1" applyFont="1" applyFill="1" applyBorder="1" applyAlignment="1">
      <alignment horizontal="center"/>
    </xf>
    <xf numFmtId="164" fontId="2" fillId="0" borderId="11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20" fillId="0" borderId="2" xfId="0" applyNumberFormat="1" applyFont="1" applyFill="1" applyBorder="1" applyAlignment="1">
      <alignment horizontal="center"/>
    </xf>
    <xf numFmtId="2" fontId="20" fillId="0" borderId="9" xfId="0" applyNumberFormat="1" applyFont="1" applyFill="1" applyBorder="1" applyAlignment="1">
      <alignment horizontal="center"/>
    </xf>
    <xf numFmtId="2" fontId="20" fillId="0" borderId="1" xfId="0" applyNumberFormat="1" applyFont="1" applyFill="1" applyBorder="1" applyAlignment="1">
      <alignment horizontal="center"/>
    </xf>
    <xf numFmtId="165" fontId="20" fillId="0" borderId="1" xfId="0" applyNumberFormat="1" applyFont="1" applyFill="1" applyBorder="1" applyAlignment="1">
      <alignment horizontal="center"/>
    </xf>
    <xf numFmtId="167" fontId="3" fillId="0" borderId="1" xfId="0" applyNumberFormat="1" applyFont="1" applyFill="1" applyBorder="1" applyAlignment="1">
      <alignment horizontal="center"/>
    </xf>
    <xf numFmtId="2" fontId="20" fillId="0" borderId="14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4" xfId="0" applyFont="1" applyFill="1" applyBorder="1" applyAlignment="1"/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2" fontId="21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right"/>
    </xf>
    <xf numFmtId="2" fontId="12" fillId="0" borderId="0" xfId="0" applyNumberFormat="1" applyFont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/>
    <xf numFmtId="0" fontId="2" fillId="0" borderId="6" xfId="0" applyFont="1" applyBorder="1" applyAlignment="1"/>
    <xf numFmtId="2" fontId="21" fillId="0" borderId="0" xfId="0" applyNumberFormat="1" applyFont="1" applyFill="1" applyBorder="1" applyAlignment="1">
      <alignment horizontal="center"/>
    </xf>
    <xf numFmtId="168" fontId="2" fillId="0" borderId="0" xfId="0" applyNumberFormat="1" applyFont="1" applyBorder="1" applyAlignment="1"/>
    <xf numFmtId="0" fontId="10" fillId="0" borderId="0" xfId="0" applyFont="1" applyBorder="1"/>
    <xf numFmtId="2" fontId="0" fillId="0" borderId="1" xfId="0" applyNumberFormat="1" applyBorder="1" applyAlignment="1">
      <alignment horizontal="center"/>
    </xf>
    <xf numFmtId="1" fontId="20" fillId="0" borderId="2" xfId="0" applyNumberFormat="1" applyFont="1" applyFill="1" applyBorder="1" applyAlignment="1">
      <alignment horizontal="center"/>
    </xf>
    <xf numFmtId="167" fontId="21" fillId="4" borderId="1" xfId="0" applyNumberFormat="1" applyFont="1" applyFill="1" applyBorder="1" applyAlignment="1">
      <alignment horizontal="center"/>
    </xf>
    <xf numFmtId="2" fontId="21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21" fillId="0" borderId="0" xfId="0" applyFont="1" applyFill="1" applyBorder="1" applyAlignment="1">
      <alignment horizontal="center"/>
    </xf>
    <xf numFmtId="167" fontId="21" fillId="0" borderId="0" xfId="0" applyNumberFormat="1" applyFont="1" applyFill="1" applyBorder="1" applyAlignment="1">
      <alignment horizontal="center"/>
    </xf>
    <xf numFmtId="164" fontId="21" fillId="4" borderId="1" xfId="0" applyNumberFormat="1" applyFont="1" applyFill="1" applyBorder="1" applyAlignment="1">
      <alignment horizontal="center"/>
    </xf>
    <xf numFmtId="1" fontId="21" fillId="4" borderId="1" xfId="0" applyNumberFormat="1" applyFont="1" applyFill="1" applyBorder="1" applyAlignment="1">
      <alignment horizontal="center"/>
    </xf>
    <xf numFmtId="2" fontId="20" fillId="0" borderId="13" xfId="0" applyNumberFormat="1" applyFont="1" applyFill="1" applyBorder="1" applyAlignment="1">
      <alignment horizontal="center"/>
    </xf>
    <xf numFmtId="2" fontId="20" fillId="0" borderId="10" xfId="0" applyNumberFormat="1" applyFont="1" applyFill="1" applyBorder="1" applyAlignment="1">
      <alignment horizontal="center"/>
    </xf>
    <xf numFmtId="165" fontId="20" fillId="0" borderId="13" xfId="0" applyNumberFormat="1" applyFont="1" applyFill="1" applyBorder="1" applyAlignment="1">
      <alignment horizontal="center"/>
    </xf>
    <xf numFmtId="165" fontId="12" fillId="0" borderId="0" xfId="0" applyNumberFormat="1" applyFont="1" applyFill="1" applyBorder="1"/>
    <xf numFmtId="165" fontId="10" fillId="0" borderId="0" xfId="0" applyNumberFormat="1" applyFont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0" fontId="2" fillId="0" borderId="14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/>
    </xf>
    <xf numFmtId="2" fontId="17" fillId="0" borderId="1" xfId="0" applyNumberFormat="1" applyFont="1" applyFill="1" applyBorder="1" applyAlignment="1">
      <alignment horizontal="center"/>
    </xf>
    <xf numFmtId="2" fontId="19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7" fillId="0" borderId="0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center"/>
    </xf>
    <xf numFmtId="1" fontId="17" fillId="0" borderId="0" xfId="0" applyNumberFormat="1" applyFont="1" applyFill="1" applyBorder="1" applyAlignment="1">
      <alignment horizontal="center"/>
    </xf>
    <xf numFmtId="169" fontId="17" fillId="0" borderId="0" xfId="0" applyNumberFormat="1" applyFont="1" applyFill="1" applyBorder="1" applyAlignment="1">
      <alignment horizontal="center"/>
    </xf>
    <xf numFmtId="164" fontId="17" fillId="0" borderId="0" xfId="0" applyNumberFormat="1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center"/>
    </xf>
    <xf numFmtId="2" fontId="17" fillId="0" borderId="0" xfId="0" quotePrefix="1" applyNumberFormat="1" applyFont="1" applyFill="1" applyBorder="1" applyAlignment="1">
      <alignment horizontal="center"/>
    </xf>
    <xf numFmtId="14" fontId="21" fillId="0" borderId="0" xfId="0" applyNumberFormat="1" applyFont="1"/>
    <xf numFmtId="0" fontId="2" fillId="0" borderId="1" xfId="0" applyFont="1" applyFill="1" applyBorder="1" applyAlignment="1"/>
    <xf numFmtId="1" fontId="20" fillId="0" borderId="1" xfId="0" applyNumberFormat="1" applyFont="1" applyFill="1" applyBorder="1" applyAlignment="1">
      <alignment horizontal="center"/>
    </xf>
    <xf numFmtId="2" fontId="24" fillId="0" borderId="13" xfId="0" applyNumberFormat="1" applyFont="1" applyFill="1" applyBorder="1" applyAlignment="1">
      <alignment horizontal="center"/>
    </xf>
    <xf numFmtId="0" fontId="2" fillId="0" borderId="2" xfId="0" applyFont="1" applyFill="1" applyBorder="1" applyAlignment="1"/>
    <xf numFmtId="0" fontId="2" fillId="0" borderId="15" xfId="0" applyFont="1" applyFill="1" applyBorder="1" applyAlignment="1"/>
    <xf numFmtId="0" fontId="10" fillId="0" borderId="0" xfId="0" applyFont="1" applyAlignment="1">
      <alignment horizontal="center"/>
    </xf>
    <xf numFmtId="2" fontId="26" fillId="0" borderId="0" xfId="0" quotePrefix="1" applyNumberFormat="1" applyFont="1" applyBorder="1" applyAlignment="1">
      <alignment horizontal="center"/>
    </xf>
    <xf numFmtId="2" fontId="17" fillId="0" borderId="0" xfId="0" quotePrefix="1" applyNumberFormat="1" applyFont="1" applyBorder="1" applyAlignment="1">
      <alignment horizontal="center"/>
    </xf>
    <xf numFmtId="2" fontId="19" fillId="0" borderId="0" xfId="0" quotePrefix="1" applyNumberFormat="1" applyFont="1" applyBorder="1" applyAlignment="1">
      <alignment horizontal="center"/>
    </xf>
    <xf numFmtId="0" fontId="17" fillId="0" borderId="1" xfId="0" applyFont="1" applyFill="1" applyBorder="1" applyAlignment="1"/>
    <xf numFmtId="0" fontId="17" fillId="0" borderId="14" xfId="0" applyFont="1" applyFill="1" applyBorder="1" applyAlignment="1"/>
    <xf numFmtId="2" fontId="17" fillId="0" borderId="9" xfId="0" applyNumberFormat="1" applyFont="1" applyFill="1" applyBorder="1" applyAlignment="1">
      <alignment horizontal="center"/>
    </xf>
    <xf numFmtId="2" fontId="17" fillId="0" borderId="2" xfId="0" applyNumberFormat="1" applyFont="1" applyFill="1" applyBorder="1" applyAlignment="1">
      <alignment horizontal="center"/>
    </xf>
    <xf numFmtId="2" fontId="17" fillId="0" borderId="0" xfId="0" applyNumberFormat="1" applyFont="1" applyBorder="1" applyAlignment="1">
      <alignment horizontal="center"/>
    </xf>
    <xf numFmtId="2" fontId="18" fillId="0" borderId="0" xfId="0" applyNumberFormat="1" applyFont="1" applyBorder="1" applyAlignment="1">
      <alignment horizontal="center"/>
    </xf>
    <xf numFmtId="2" fontId="27" fillId="0" borderId="0" xfId="0" applyNumberFormat="1" applyFont="1" applyBorder="1" applyAlignment="1">
      <alignment horizontal="center"/>
    </xf>
    <xf numFmtId="2" fontId="21" fillId="0" borderId="10" xfId="0" applyNumberFormat="1" applyFont="1" applyFill="1" applyBorder="1" applyAlignment="1">
      <alignment horizontal="center"/>
    </xf>
    <xf numFmtId="2" fontId="19" fillId="0" borderId="1" xfId="0" quotePrefix="1" applyNumberFormat="1" applyFont="1" applyFill="1" applyBorder="1" applyAlignment="1">
      <alignment horizontal="right"/>
    </xf>
    <xf numFmtId="2" fontId="21" fillId="0" borderId="1" xfId="0" applyNumberFormat="1" applyFont="1" applyFill="1" applyBorder="1" applyAlignment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center"/>
    </xf>
    <xf numFmtId="2" fontId="20" fillId="0" borderId="0" xfId="0" applyNumberFormat="1" applyFont="1" applyFill="1" applyBorder="1" applyAlignment="1">
      <alignment horizontal="center"/>
    </xf>
    <xf numFmtId="165" fontId="20" fillId="0" borderId="0" xfId="0" applyNumberFormat="1" applyFont="1" applyFill="1" applyBorder="1" applyAlignment="1">
      <alignment horizontal="center"/>
    </xf>
    <xf numFmtId="165" fontId="21" fillId="0" borderId="0" xfId="0" applyNumberFormat="1" applyFont="1" applyFill="1" applyBorder="1" applyAlignment="1">
      <alignment horizontal="center" vertical="center"/>
    </xf>
    <xf numFmtId="0" fontId="13" fillId="0" borderId="0" xfId="0" applyFont="1"/>
    <xf numFmtId="1" fontId="28" fillId="0" borderId="0" xfId="0" applyNumberFormat="1" applyFont="1" applyAlignment="1">
      <alignment horizontal="center"/>
    </xf>
    <xf numFmtId="164" fontId="20" fillId="0" borderId="10" xfId="0" applyNumberFormat="1" applyFont="1" applyFill="1" applyBorder="1" applyAlignment="1">
      <alignment horizontal="center"/>
    </xf>
    <xf numFmtId="1" fontId="20" fillId="0" borderId="13" xfId="0" applyNumberFormat="1" applyFont="1" applyFill="1" applyBorder="1" applyAlignment="1">
      <alignment horizontal="center"/>
    </xf>
    <xf numFmtId="0" fontId="0" fillId="0" borderId="0" xfId="0" applyAlignment="1"/>
    <xf numFmtId="0" fontId="2" fillId="0" borderId="13" xfId="0" quotePrefix="1" applyFont="1" applyFill="1" applyBorder="1" applyAlignment="1">
      <alignment horizontal="center"/>
    </xf>
    <xf numFmtId="164" fontId="3" fillId="0" borderId="14" xfId="0" applyNumberFormat="1" applyFont="1" applyFill="1" applyBorder="1" applyAlignment="1">
      <alignment horizontal="center"/>
    </xf>
    <xf numFmtId="167" fontId="20" fillId="0" borderId="14" xfId="0" applyNumberFormat="1" applyFont="1" applyFill="1" applyBorder="1" applyAlignment="1">
      <alignment horizontal="center"/>
    </xf>
    <xf numFmtId="164" fontId="20" fillId="0" borderId="14" xfId="0" applyNumberFormat="1" applyFont="1" applyFill="1" applyBorder="1" applyAlignment="1">
      <alignment horizontal="center"/>
    </xf>
    <xf numFmtId="164" fontId="2" fillId="0" borderId="14" xfId="0" applyNumberFormat="1" applyFont="1" applyFill="1" applyBorder="1" applyAlignment="1">
      <alignment horizontal="center"/>
    </xf>
    <xf numFmtId="164" fontId="23" fillId="4" borderId="1" xfId="0" applyNumberFormat="1" applyFont="1" applyFill="1" applyBorder="1" applyAlignment="1">
      <alignment horizontal="center"/>
    </xf>
    <xf numFmtId="164" fontId="23" fillId="4" borderId="1" xfId="0" applyNumberFormat="1" applyFont="1" applyFill="1" applyBorder="1" applyAlignment="1">
      <alignment horizontal="center" vertical="center"/>
    </xf>
    <xf numFmtId="164" fontId="24" fillId="5" borderId="1" xfId="0" applyNumberFormat="1" applyFont="1" applyFill="1" applyBorder="1" applyAlignment="1">
      <alignment horizontal="center"/>
    </xf>
    <xf numFmtId="0" fontId="1" fillId="0" borderId="0" xfId="0" applyFont="1"/>
    <xf numFmtId="2" fontId="1" fillId="0" borderId="14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68" fontId="19" fillId="0" borderId="6" xfId="0" applyNumberFormat="1" applyFont="1" applyBorder="1" applyAlignment="1">
      <alignment horizontal="left"/>
    </xf>
    <xf numFmtId="164" fontId="2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0" fontId="0" fillId="4" borderId="1" xfId="0" applyFill="1" applyBorder="1"/>
    <xf numFmtId="0" fontId="0" fillId="4" borderId="1" xfId="0" applyFill="1" applyBorder="1" applyAlignment="1"/>
    <xf numFmtId="2" fontId="21" fillId="6" borderId="1" xfId="0" applyNumberFormat="1" applyFont="1" applyFill="1" applyBorder="1" applyAlignment="1">
      <alignment horizontal="center"/>
    </xf>
    <xf numFmtId="0" fontId="17" fillId="0" borderId="13" xfId="0" quotePrefix="1" applyFont="1" applyBorder="1" applyAlignment="1">
      <alignment horizontal="center"/>
    </xf>
    <xf numFmtId="2" fontId="17" fillId="0" borderId="10" xfId="0" applyNumberFormat="1" applyFont="1" applyBorder="1" applyAlignment="1">
      <alignment horizontal="center"/>
    </xf>
    <xf numFmtId="2" fontId="17" fillId="0" borderId="6" xfId="0" applyNumberFormat="1" applyFont="1" applyBorder="1" applyAlignment="1">
      <alignment horizontal="center"/>
    </xf>
    <xf numFmtId="2" fontId="17" fillId="0" borderId="10" xfId="0" applyNumberFormat="1" applyFont="1" applyFill="1" applyBorder="1" applyAlignment="1">
      <alignment horizontal="center"/>
    </xf>
    <xf numFmtId="165" fontId="19" fillId="0" borderId="0" xfId="0" applyNumberFormat="1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1" xfId="0" applyNumberFormat="1" applyFont="1" applyFill="1" applyBorder="1" applyAlignment="1">
      <alignment horizontal="center"/>
    </xf>
    <xf numFmtId="167" fontId="20" fillId="0" borderId="1" xfId="0" applyNumberFormat="1" applyFont="1" applyFill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  <xf numFmtId="168" fontId="21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1" fillId="0" borderId="0" xfId="0" applyNumberFormat="1" applyFont="1" applyBorder="1" applyAlignment="1">
      <alignment horizontal="left"/>
    </xf>
    <xf numFmtId="2" fontId="21" fillId="0" borderId="0" xfId="0" applyNumberFormat="1" applyFont="1" applyBorder="1" applyAlignment="1">
      <alignment horizontal="left"/>
    </xf>
    <xf numFmtId="2" fontId="21" fillId="0" borderId="0" xfId="0" applyNumberFormat="1" applyFont="1" applyFill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1" fillId="0" borderId="1" xfId="0" applyNumberFormat="1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left"/>
    </xf>
    <xf numFmtId="0" fontId="23" fillId="4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15" xfId="0" applyFont="1" applyFill="1" applyBorder="1" applyAlignment="1">
      <alignment horizontal="left"/>
    </xf>
    <xf numFmtId="0" fontId="2" fillId="0" borderId="14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64" fontId="2" fillId="0" borderId="11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164" fontId="21" fillId="0" borderId="11" xfId="0" applyNumberFormat="1" applyFont="1" applyFill="1" applyBorder="1" applyAlignment="1">
      <alignment horizontal="center" vertical="center"/>
    </xf>
    <xf numFmtId="164" fontId="21" fillId="0" borderId="12" xfId="0" applyNumberFormat="1" applyFont="1" applyFill="1" applyBorder="1" applyAlignment="1">
      <alignment horizontal="center" vertical="center"/>
    </xf>
    <xf numFmtId="164" fontId="21" fillId="0" borderId="1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24" fillId="5" borderId="2" xfId="0" applyFont="1" applyFill="1" applyBorder="1" applyAlignment="1">
      <alignment horizontal="left"/>
    </xf>
    <xf numFmtId="0" fontId="24" fillId="5" borderId="15" xfId="0" applyFont="1" applyFill="1" applyBorder="1" applyAlignment="1">
      <alignment horizontal="left"/>
    </xf>
    <xf numFmtId="0" fontId="24" fillId="5" borderId="14" xfId="0" applyFont="1" applyFill="1" applyBorder="1" applyAlignment="1">
      <alignment horizontal="left"/>
    </xf>
    <xf numFmtId="0" fontId="2" fillId="0" borderId="1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3" fillId="4" borderId="2" xfId="0" applyFont="1" applyFill="1" applyBorder="1" applyAlignment="1">
      <alignment horizontal="left"/>
    </xf>
    <xf numFmtId="0" fontId="23" fillId="4" borderId="15" xfId="0" applyFont="1" applyFill="1" applyBorder="1" applyAlignment="1">
      <alignment horizontal="left"/>
    </xf>
    <xf numFmtId="0" fontId="23" fillId="4" borderId="14" xfId="0" applyFont="1" applyFill="1" applyBorder="1" applyAlignment="1">
      <alignment horizontal="left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2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/>
    </xf>
    <xf numFmtId="0" fontId="16" fillId="0" borderId="14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64" fontId="22" fillId="0" borderId="9" xfId="0" applyNumberFormat="1" applyFont="1" applyFill="1" applyBorder="1" applyAlignment="1">
      <alignment horizontal="center" vertical="center"/>
    </xf>
    <xf numFmtId="164" fontId="22" fillId="0" borderId="6" xfId="0" applyNumberFormat="1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/>
    </xf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3"/>
  <sheetViews>
    <sheetView topLeftCell="A130" zoomScale="115" zoomScaleNormal="115" workbookViewId="0">
      <selection activeCell="B168" sqref="B168"/>
    </sheetView>
  </sheetViews>
  <sheetFormatPr defaultRowHeight="12.75" x14ac:dyDescent="0.2"/>
  <cols>
    <col min="1" max="1" width="23.140625" customWidth="1"/>
    <col min="2" max="2" width="14.140625" customWidth="1"/>
    <col min="3" max="3" width="9.5703125" bestFit="1" customWidth="1"/>
    <col min="4" max="6" width="9.28515625" bestFit="1" customWidth="1"/>
    <col min="10" max="10" width="9.28515625" bestFit="1" customWidth="1"/>
    <col min="11" max="11" width="9.7109375" bestFit="1" customWidth="1"/>
    <col min="12" max="12" width="9.42578125" bestFit="1" customWidth="1"/>
    <col min="13" max="13" width="9.85546875" bestFit="1" customWidth="1"/>
  </cols>
  <sheetData>
    <row r="1" spans="1:13" x14ac:dyDescent="0.2">
      <c r="A1" s="6" t="s">
        <v>142</v>
      </c>
    </row>
    <row r="2" spans="1:13" x14ac:dyDescent="0.2">
      <c r="A2" s="321" t="s">
        <v>103</v>
      </c>
      <c r="B2" s="322"/>
      <c r="C2" s="322"/>
      <c r="D2" s="322"/>
      <c r="E2" s="322"/>
      <c r="F2" s="323"/>
      <c r="G2" s="3"/>
      <c r="H2" s="3"/>
    </row>
    <row r="3" spans="1:13" x14ac:dyDescent="0.2">
      <c r="A3" s="28" t="s">
        <v>213</v>
      </c>
      <c r="B3" s="1"/>
      <c r="C3" s="1" t="s">
        <v>0</v>
      </c>
      <c r="D3" s="1"/>
      <c r="E3" s="2" t="s">
        <v>1</v>
      </c>
      <c r="F3" s="1"/>
      <c r="G3" s="3"/>
      <c r="H3" s="28" t="s">
        <v>210</v>
      </c>
      <c r="I3" s="1"/>
      <c r="J3" s="1" t="s">
        <v>0</v>
      </c>
      <c r="K3" s="1"/>
      <c r="L3" s="2" t="s">
        <v>1</v>
      </c>
      <c r="M3" s="1"/>
    </row>
    <row r="4" spans="1:13" x14ac:dyDescent="0.2">
      <c r="A4" s="1"/>
      <c r="B4" s="1" t="s">
        <v>2</v>
      </c>
      <c r="C4" s="1"/>
      <c r="D4" s="1">
        <v>100</v>
      </c>
      <c r="E4" s="4">
        <f t="shared" ref="E4:E10" si="0">D4/$D$10</f>
        <v>1.0689455997238206</v>
      </c>
      <c r="F4" s="1"/>
      <c r="G4" s="3"/>
      <c r="H4" s="1"/>
      <c r="I4" s="1" t="s">
        <v>2</v>
      </c>
      <c r="J4" s="1"/>
      <c r="K4" s="1">
        <v>100</v>
      </c>
      <c r="L4" s="4">
        <f>K4/$K$11</f>
        <v>1.4026238543163232</v>
      </c>
      <c r="M4" s="1"/>
    </row>
    <row r="5" spans="1:13" x14ac:dyDescent="0.2">
      <c r="A5" s="1"/>
      <c r="B5" s="1" t="s">
        <v>3</v>
      </c>
      <c r="C5" s="1">
        <v>0.3</v>
      </c>
      <c r="D5" s="1">
        <f>D4-C5</f>
        <v>99.7</v>
      </c>
      <c r="E5" s="4">
        <f t="shared" si="0"/>
        <v>1.0657387629246491</v>
      </c>
      <c r="F5" s="1"/>
      <c r="G5" s="3"/>
      <c r="H5" s="1"/>
      <c r="I5" s="1" t="s">
        <v>3</v>
      </c>
      <c r="J5" s="1">
        <v>5</v>
      </c>
      <c r="K5" s="1">
        <f>K4-J5</f>
        <v>95</v>
      </c>
      <c r="L5" s="4">
        <f t="shared" ref="L5:L11" si="1">K5/$K$11</f>
        <v>1.3324926616005071</v>
      </c>
      <c r="M5" s="1"/>
    </row>
    <row r="6" spans="1:13" x14ac:dyDescent="0.2">
      <c r="A6" s="1"/>
      <c r="B6" s="1" t="s">
        <v>4</v>
      </c>
      <c r="C6" s="1">
        <v>2.5</v>
      </c>
      <c r="D6" s="5">
        <f>D5-D5*(C6/100)</f>
        <v>97.207499999999996</v>
      </c>
      <c r="E6" s="4">
        <f t="shared" si="0"/>
        <v>1.039095293851533</v>
      </c>
      <c r="F6" s="1"/>
      <c r="G6" s="3"/>
      <c r="H6" s="1"/>
      <c r="I6" s="1" t="s">
        <v>4</v>
      </c>
      <c r="J6" s="1">
        <v>9</v>
      </c>
      <c r="K6" s="5">
        <f t="shared" ref="K6:K11" si="2">K5-K5*(J6/100)</f>
        <v>86.45</v>
      </c>
      <c r="L6" s="4">
        <f t="shared" si="1"/>
        <v>1.2125683220564614</v>
      </c>
      <c r="M6" s="1"/>
    </row>
    <row r="7" spans="1:13" x14ac:dyDescent="0.2">
      <c r="A7" s="1"/>
      <c r="B7" s="1" t="s">
        <v>5</v>
      </c>
      <c r="C7" s="1">
        <v>0.5</v>
      </c>
      <c r="D7" s="5">
        <f>D6-D6*(C7/100)</f>
        <v>96.721462500000001</v>
      </c>
      <c r="E7" s="4">
        <f t="shared" si="0"/>
        <v>1.0338998173822753</v>
      </c>
      <c r="F7" s="1"/>
      <c r="G7" s="3"/>
      <c r="H7" s="1"/>
      <c r="I7" s="1" t="s">
        <v>143</v>
      </c>
      <c r="J7" s="1">
        <v>15</v>
      </c>
      <c r="K7" s="5">
        <f t="shared" si="2"/>
        <v>73.482500000000002</v>
      </c>
      <c r="L7" s="4">
        <f t="shared" si="1"/>
        <v>1.0306830737479922</v>
      </c>
      <c r="M7" s="1"/>
    </row>
    <row r="8" spans="1:13" x14ac:dyDescent="0.2">
      <c r="A8" s="1"/>
      <c r="B8" s="1" t="s">
        <v>6</v>
      </c>
      <c r="C8" s="1">
        <v>0.2</v>
      </c>
      <c r="D8" s="5">
        <f>D7-D7*(C8/100)</f>
        <v>96.528019575000002</v>
      </c>
      <c r="E8" s="4">
        <f t="shared" si="0"/>
        <v>1.0318320177475107</v>
      </c>
      <c r="F8" s="1"/>
      <c r="G8" s="3"/>
      <c r="H8" s="1"/>
      <c r="I8" s="1" t="s">
        <v>5</v>
      </c>
      <c r="J8" s="1">
        <v>0.5</v>
      </c>
      <c r="K8" s="5">
        <f t="shared" si="2"/>
        <v>73.115087500000001</v>
      </c>
      <c r="L8" s="4">
        <f t="shared" si="1"/>
        <v>1.0255296583792521</v>
      </c>
      <c r="M8" s="1"/>
    </row>
    <row r="9" spans="1:13" x14ac:dyDescent="0.2">
      <c r="A9" s="1"/>
      <c r="B9" s="1" t="s">
        <v>7</v>
      </c>
      <c r="C9" s="1">
        <v>2.5</v>
      </c>
      <c r="D9" s="5">
        <f>D8-D8*(C9/100)</f>
        <v>94.114819085625001</v>
      </c>
      <c r="E9" s="4">
        <f t="shared" si="0"/>
        <v>1.0060362173038229</v>
      </c>
      <c r="F9" s="1"/>
      <c r="G9" s="3"/>
      <c r="H9" s="1"/>
      <c r="I9" s="1" t="s">
        <v>6</v>
      </c>
      <c r="J9" s="1">
        <v>0.2</v>
      </c>
      <c r="K9" s="5">
        <f t="shared" si="2"/>
        <v>72.968857325000002</v>
      </c>
      <c r="L9" s="4">
        <f t="shared" si="1"/>
        <v>1.0234785990624937</v>
      </c>
      <c r="M9" s="1"/>
    </row>
    <row r="10" spans="1:13" x14ac:dyDescent="0.2">
      <c r="A10" s="1"/>
      <c r="B10" s="1" t="s">
        <v>8</v>
      </c>
      <c r="C10" s="1">
        <v>0.6</v>
      </c>
      <c r="D10" s="5">
        <f>D9-D9*(C10/100)</f>
        <v>93.550130171111249</v>
      </c>
      <c r="E10" s="4">
        <f t="shared" si="0"/>
        <v>1</v>
      </c>
      <c r="F10" s="1"/>
      <c r="G10" s="3"/>
      <c r="H10" s="1"/>
      <c r="I10" s="1" t="s">
        <v>144</v>
      </c>
      <c r="J10" s="1">
        <v>2</v>
      </c>
      <c r="K10" s="5">
        <f t="shared" si="2"/>
        <v>71.509480178499999</v>
      </c>
      <c r="L10" s="4">
        <f t="shared" si="1"/>
        <v>1.0030090270812437</v>
      </c>
      <c r="M10" s="1"/>
    </row>
    <row r="11" spans="1:13" x14ac:dyDescent="0.2">
      <c r="H11" s="1"/>
      <c r="I11" s="1" t="s">
        <v>8</v>
      </c>
      <c r="J11" s="1">
        <v>0.3</v>
      </c>
      <c r="K11" s="5">
        <f t="shared" si="2"/>
        <v>71.294951737964496</v>
      </c>
      <c r="L11" s="4">
        <f t="shared" si="1"/>
        <v>1</v>
      </c>
      <c r="M11" s="1"/>
    </row>
    <row r="12" spans="1:13" x14ac:dyDescent="0.2">
      <c r="A12" s="35" t="s">
        <v>2</v>
      </c>
      <c r="B12" s="36"/>
      <c r="C12" s="35" t="s">
        <v>104</v>
      </c>
      <c r="D12" s="22"/>
      <c r="E12" s="22" t="s">
        <v>111</v>
      </c>
      <c r="F12" s="36">
        <f>2*22.5</f>
        <v>45</v>
      </c>
      <c r="H12" t="s">
        <v>145</v>
      </c>
    </row>
    <row r="13" spans="1:13" x14ac:dyDescent="0.2">
      <c r="A13" s="48" t="s">
        <v>211</v>
      </c>
      <c r="B13" s="37">
        <f>9*5</f>
        <v>45</v>
      </c>
      <c r="C13" s="23" t="s">
        <v>105</v>
      </c>
      <c r="D13" s="3">
        <v>24</v>
      </c>
      <c r="E13" s="3" t="s">
        <v>112</v>
      </c>
      <c r="F13" s="37">
        <f>1*22.5</f>
        <v>22.5</v>
      </c>
    </row>
    <row r="14" spans="1:13" x14ac:dyDescent="0.2">
      <c r="A14" s="23" t="s">
        <v>10</v>
      </c>
      <c r="B14" s="37">
        <v>2000</v>
      </c>
      <c r="C14" s="23" t="s">
        <v>106</v>
      </c>
      <c r="D14" s="3">
        <v>6</v>
      </c>
      <c r="E14" s="3" t="s">
        <v>113</v>
      </c>
      <c r="F14" s="37">
        <v>22.5</v>
      </c>
      <c r="H14" s="35" t="s">
        <v>2</v>
      </c>
      <c r="I14" s="36"/>
      <c r="J14" s="35" t="s">
        <v>104</v>
      </c>
      <c r="K14" s="36"/>
      <c r="L14" s="21" t="s">
        <v>111</v>
      </c>
      <c r="M14" s="36">
        <f>1*22.5</f>
        <v>22.5</v>
      </c>
    </row>
    <row r="15" spans="1:13" x14ac:dyDescent="0.2">
      <c r="A15" s="38" t="s">
        <v>11</v>
      </c>
      <c r="B15" s="39">
        <f>B13*100*E4/B14</f>
        <v>2.4051275993785968</v>
      </c>
      <c r="C15" s="23" t="s">
        <v>107</v>
      </c>
      <c r="D15" s="3">
        <v>0.85</v>
      </c>
      <c r="E15" s="3" t="s">
        <v>114</v>
      </c>
      <c r="F15" s="37">
        <v>22.5</v>
      </c>
      <c r="H15" s="23" t="s">
        <v>9</v>
      </c>
      <c r="I15" s="37">
        <f>2*8</f>
        <v>16</v>
      </c>
      <c r="J15" s="23" t="s">
        <v>105</v>
      </c>
      <c r="K15" s="37">
        <v>26.25</v>
      </c>
      <c r="L15" s="23" t="s">
        <v>112</v>
      </c>
      <c r="M15" s="37">
        <f>1*22.5</f>
        <v>22.5</v>
      </c>
    </row>
    <row r="16" spans="1:13" x14ac:dyDescent="0.2">
      <c r="A16" s="23"/>
      <c r="B16" s="37"/>
      <c r="C16" s="23" t="s">
        <v>108</v>
      </c>
      <c r="D16" s="42">
        <f>2*60*D13*D15/D14</f>
        <v>408</v>
      </c>
      <c r="E16" s="3" t="s">
        <v>115</v>
      </c>
      <c r="F16" s="37">
        <f>3*8</f>
        <v>24</v>
      </c>
      <c r="H16" s="23" t="s">
        <v>10</v>
      </c>
      <c r="I16" s="37">
        <v>2000</v>
      </c>
      <c r="J16" s="23" t="s">
        <v>106</v>
      </c>
      <c r="K16" s="37">
        <v>6</v>
      </c>
      <c r="L16" s="23" t="s">
        <v>113</v>
      </c>
      <c r="M16" s="37">
        <v>0</v>
      </c>
    </row>
    <row r="17" spans="1:13" x14ac:dyDescent="0.2">
      <c r="A17" s="23"/>
      <c r="B17" s="37"/>
      <c r="C17" s="23" t="s">
        <v>109</v>
      </c>
      <c r="D17" s="42">
        <f>B28*D16</f>
        <v>6760.56</v>
      </c>
      <c r="E17" s="3"/>
      <c r="F17" s="43">
        <f>SUM(F12:F16)</f>
        <v>136.5</v>
      </c>
      <c r="H17" s="38" t="s">
        <v>11</v>
      </c>
      <c r="I17" s="39">
        <f>I15*100*L4/I16</f>
        <v>1.1220990834530584</v>
      </c>
      <c r="J17" s="23" t="s">
        <v>107</v>
      </c>
      <c r="K17" s="37">
        <v>0.85</v>
      </c>
      <c r="L17" s="23" t="s">
        <v>114</v>
      </c>
      <c r="M17" s="37">
        <v>22.5</v>
      </c>
    </row>
    <row r="18" spans="1:13" x14ac:dyDescent="0.2">
      <c r="A18" s="38"/>
      <c r="B18" s="39"/>
      <c r="C18" s="23" t="s">
        <v>33</v>
      </c>
      <c r="D18" s="159">
        <v>98.2</v>
      </c>
      <c r="E18" s="24" t="s">
        <v>11</v>
      </c>
      <c r="F18" s="39">
        <f>F17*100*E5/D17</f>
        <v>2.1517942469146729</v>
      </c>
      <c r="H18" s="23" t="s">
        <v>12</v>
      </c>
      <c r="I18" s="37">
        <f>11*8</f>
        <v>88</v>
      </c>
      <c r="J18" s="23" t="s">
        <v>108</v>
      </c>
      <c r="K18" s="50">
        <f>60*K15*K17/K16</f>
        <v>223.125</v>
      </c>
      <c r="L18" s="23" t="s">
        <v>115</v>
      </c>
      <c r="M18" s="37">
        <v>0</v>
      </c>
    </row>
    <row r="19" spans="1:13" x14ac:dyDescent="0.2">
      <c r="A19" s="23" t="s">
        <v>13</v>
      </c>
      <c r="B19" s="142">
        <v>5.25</v>
      </c>
      <c r="C19" s="23" t="s">
        <v>110</v>
      </c>
      <c r="D19" s="3">
        <f>D18*0.5*0.9</f>
        <v>44.190000000000005</v>
      </c>
      <c r="E19" s="3"/>
      <c r="F19" s="37"/>
      <c r="H19" s="23" t="s">
        <v>10</v>
      </c>
      <c r="I19" s="37">
        <v>2000</v>
      </c>
      <c r="J19" s="23" t="s">
        <v>109</v>
      </c>
      <c r="K19" s="50">
        <f>I30*K18</f>
        <v>3697.1812500000001</v>
      </c>
      <c r="L19" s="23"/>
      <c r="M19" s="43">
        <f>SUM(M14:M18)</f>
        <v>67.5</v>
      </c>
    </row>
    <row r="20" spans="1:13" x14ac:dyDescent="0.2">
      <c r="A20" s="23" t="s">
        <v>14</v>
      </c>
      <c r="B20" s="142">
        <v>500</v>
      </c>
      <c r="C20" s="23"/>
      <c r="D20" s="3"/>
      <c r="E20" s="3"/>
      <c r="F20" s="37"/>
      <c r="H20" s="38" t="s">
        <v>11</v>
      </c>
      <c r="I20" s="39">
        <f>I18*100*L4/I19</f>
        <v>6.1715449589918219</v>
      </c>
      <c r="J20" s="23" t="s">
        <v>33</v>
      </c>
      <c r="K20" s="142">
        <v>94.75</v>
      </c>
      <c r="L20" s="40" t="s">
        <v>11</v>
      </c>
      <c r="M20" s="41">
        <f>M19*100*L5/K19</f>
        <v>2.4327521042695492</v>
      </c>
    </row>
    <row r="21" spans="1:13" x14ac:dyDescent="0.2">
      <c r="A21" s="40" t="s">
        <v>15</v>
      </c>
      <c r="B21" s="41">
        <f>B19*0.5*E4/B20</f>
        <v>5.6119643985500581E-3</v>
      </c>
      <c r="C21" s="40" t="s">
        <v>15</v>
      </c>
      <c r="D21" s="45">
        <f>D19*B29*E5/D17</f>
        <v>0.15673811171070229</v>
      </c>
      <c r="E21" s="26"/>
      <c r="F21" s="46"/>
      <c r="H21" s="23" t="s">
        <v>13</v>
      </c>
      <c r="I21" s="142">
        <v>5.25</v>
      </c>
      <c r="J21" s="23" t="s">
        <v>110</v>
      </c>
      <c r="K21" s="49">
        <f>K20*0.5*0.8</f>
        <v>37.9</v>
      </c>
    </row>
    <row r="22" spans="1:13" x14ac:dyDescent="0.2">
      <c r="A22" s="35" t="s">
        <v>159</v>
      </c>
      <c r="B22" s="47" t="s">
        <v>146</v>
      </c>
      <c r="C22" s="6"/>
      <c r="H22" s="23" t="s">
        <v>14</v>
      </c>
      <c r="I22" s="142">
        <v>500</v>
      </c>
      <c r="J22" s="23"/>
      <c r="K22" s="37"/>
    </row>
    <row r="23" spans="1:13" x14ac:dyDescent="0.2">
      <c r="A23" s="48" t="s">
        <v>16</v>
      </c>
      <c r="B23" s="37">
        <v>0.12</v>
      </c>
      <c r="H23" s="40" t="s">
        <v>15</v>
      </c>
      <c r="I23" s="41">
        <f>I21*0.5*L4/I22</f>
        <v>7.3637752351606968E-3</v>
      </c>
      <c r="J23" s="40" t="s">
        <v>15</v>
      </c>
      <c r="K23" s="39">
        <f>K21*I31*L5/K19</f>
        <v>0.30733768250605303</v>
      </c>
    </row>
    <row r="24" spans="1:13" x14ac:dyDescent="0.2">
      <c r="A24" s="48" t="s">
        <v>17</v>
      </c>
      <c r="B24" s="37">
        <v>100</v>
      </c>
      <c r="H24" s="35" t="s">
        <v>159</v>
      </c>
      <c r="I24" s="47" t="s">
        <v>146</v>
      </c>
      <c r="J24" s="6"/>
      <c r="K24" s="35" t="s">
        <v>147</v>
      </c>
      <c r="L24" s="77" t="s">
        <v>151</v>
      </c>
      <c r="M24" s="47" t="s">
        <v>152</v>
      </c>
    </row>
    <row r="25" spans="1:13" x14ac:dyDescent="0.2">
      <c r="A25" s="48" t="s">
        <v>18</v>
      </c>
      <c r="B25" s="37">
        <v>0.85</v>
      </c>
      <c r="H25" s="48" t="s">
        <v>16</v>
      </c>
      <c r="I25" s="37">
        <v>0.14000000000000001</v>
      </c>
      <c r="K25" s="23" t="s">
        <v>148</v>
      </c>
      <c r="L25" s="3">
        <v>55</v>
      </c>
      <c r="M25" s="37">
        <v>57</v>
      </c>
    </row>
    <row r="26" spans="1:13" x14ac:dyDescent="0.2">
      <c r="A26" s="48" t="s">
        <v>19</v>
      </c>
      <c r="B26" s="49">
        <f>B24*1.0936*60*B25*0.4536/(840*B23)</f>
        <v>25.098120000000002</v>
      </c>
      <c r="C26" s="9"/>
      <c r="H26" s="48" t="s">
        <v>17</v>
      </c>
      <c r="I26" s="37">
        <v>110</v>
      </c>
      <c r="K26" s="23" t="s">
        <v>149</v>
      </c>
      <c r="L26" s="3">
        <v>55</v>
      </c>
      <c r="M26" s="37">
        <v>55</v>
      </c>
    </row>
    <row r="27" spans="1:13" x14ac:dyDescent="0.2">
      <c r="A27" s="48" t="s">
        <v>20</v>
      </c>
      <c r="B27" s="37">
        <v>3</v>
      </c>
      <c r="H27" s="48" t="s">
        <v>18</v>
      </c>
      <c r="I27" s="37">
        <v>0.85</v>
      </c>
      <c r="K27" s="23" t="s">
        <v>150</v>
      </c>
      <c r="L27" s="3">
        <v>0.65</v>
      </c>
      <c r="M27" s="37">
        <v>0.65</v>
      </c>
    </row>
    <row r="28" spans="1:13" x14ac:dyDescent="0.2">
      <c r="A28" s="48" t="s">
        <v>21</v>
      </c>
      <c r="B28" s="143">
        <v>16.57</v>
      </c>
      <c r="C28" s="151"/>
      <c r="H28" s="48" t="s">
        <v>19</v>
      </c>
      <c r="I28" s="49">
        <f>I26*1.0936*60*I27*0.4536/(840*I25)</f>
        <v>23.663941714285709</v>
      </c>
      <c r="J28" s="9"/>
      <c r="K28" s="23" t="s">
        <v>108</v>
      </c>
      <c r="L28" s="102">
        <f>L25*L26*60*L27/1000</f>
        <v>117.97499999999999</v>
      </c>
      <c r="M28" s="51">
        <f>M25*M26*60*M27/1000</f>
        <v>122.265</v>
      </c>
    </row>
    <row r="29" spans="1:13" x14ac:dyDescent="0.2">
      <c r="A29" s="48" t="s">
        <v>22</v>
      </c>
      <c r="B29" s="37">
        <v>22.5</v>
      </c>
      <c r="H29" s="48" t="s">
        <v>20</v>
      </c>
      <c r="I29" s="37">
        <v>3</v>
      </c>
      <c r="K29" s="23" t="s">
        <v>33</v>
      </c>
      <c r="L29" s="3">
        <v>4</v>
      </c>
      <c r="M29" s="37">
        <v>4</v>
      </c>
    </row>
    <row r="30" spans="1:13" x14ac:dyDescent="0.2">
      <c r="A30" s="48" t="s">
        <v>23</v>
      </c>
      <c r="B30" s="50">
        <f>B29*B26*B27</f>
        <v>1694.1231000000002</v>
      </c>
      <c r="C30" s="11"/>
      <c r="H30" s="48" t="s">
        <v>21</v>
      </c>
      <c r="I30" s="143">
        <v>16.57</v>
      </c>
      <c r="J30" s="151"/>
      <c r="K30" s="23" t="s">
        <v>110</v>
      </c>
      <c r="L30" s="3">
        <f>L29*0.5*L27</f>
        <v>1.3</v>
      </c>
      <c r="M30" s="37">
        <f>M29*0.5*M27</f>
        <v>1.3</v>
      </c>
    </row>
    <row r="31" spans="1:13" x14ac:dyDescent="0.2">
      <c r="A31" s="48" t="s">
        <v>25</v>
      </c>
      <c r="B31" s="49">
        <v>22.5</v>
      </c>
      <c r="H31" s="48" t="s">
        <v>22</v>
      </c>
      <c r="I31" s="37">
        <v>22.5</v>
      </c>
      <c r="K31" s="40" t="s">
        <v>15</v>
      </c>
      <c r="L31" s="45">
        <f>L30*L6/L28</f>
        <v>1.3361634402826022E-2</v>
      </c>
      <c r="M31" s="41">
        <f>M30*L6/M28</f>
        <v>1.2892805125533879E-2</v>
      </c>
    </row>
    <row r="32" spans="1:13" x14ac:dyDescent="0.2">
      <c r="A32" s="38" t="s">
        <v>102</v>
      </c>
      <c r="B32" s="76">
        <f>B31*100*E7/B30</f>
        <v>1.3731437751543079</v>
      </c>
      <c r="H32" s="48" t="s">
        <v>23</v>
      </c>
      <c r="I32" s="50">
        <f>I31*I28*I29</f>
        <v>1597.3160657142853</v>
      </c>
      <c r="J32" s="11"/>
      <c r="K32" s="35" t="s">
        <v>143</v>
      </c>
      <c r="L32" s="36"/>
    </row>
    <row r="33" spans="1:12" x14ac:dyDescent="0.2">
      <c r="A33" s="48" t="s">
        <v>26</v>
      </c>
      <c r="B33" s="49">
        <f>B28*0.55*B25</f>
        <v>7.7464750000000002</v>
      </c>
      <c r="H33" s="48" t="s">
        <v>25</v>
      </c>
      <c r="I33" s="49">
        <v>22.5</v>
      </c>
      <c r="J33" s="9"/>
      <c r="K33" s="23" t="s">
        <v>153</v>
      </c>
      <c r="L33" s="37">
        <v>190</v>
      </c>
    </row>
    <row r="34" spans="1:12" x14ac:dyDescent="0.2">
      <c r="A34" s="38" t="s">
        <v>15</v>
      </c>
      <c r="B34" s="39">
        <f>B33*B27*E7/B30*B29</f>
        <v>0.31911071776915401</v>
      </c>
      <c r="H34" s="38" t="s">
        <v>102</v>
      </c>
      <c r="I34" s="76">
        <f>I33*100*L6/I32</f>
        <v>1.7080393687814133</v>
      </c>
      <c r="J34" s="29"/>
      <c r="K34" s="55" t="s">
        <v>154</v>
      </c>
      <c r="L34" s="37">
        <v>4.9000000000000004</v>
      </c>
    </row>
    <row r="35" spans="1:12" x14ac:dyDescent="0.2">
      <c r="A35" s="35" t="s">
        <v>5</v>
      </c>
      <c r="B35" s="70" t="s">
        <v>27</v>
      </c>
      <c r="C35" s="62" t="s">
        <v>28</v>
      </c>
      <c r="H35" s="48" t="s">
        <v>26</v>
      </c>
      <c r="I35" s="37">
        <f>I30*0.5*I27</f>
        <v>7.0422500000000001</v>
      </c>
      <c r="K35" s="23" t="s">
        <v>155</v>
      </c>
      <c r="L35" s="37">
        <v>15</v>
      </c>
    </row>
    <row r="36" spans="1:12" x14ac:dyDescent="0.2">
      <c r="A36" s="23" t="s">
        <v>16</v>
      </c>
      <c r="B36" s="56">
        <v>0.122</v>
      </c>
      <c r="C36" s="63">
        <v>0.125</v>
      </c>
      <c r="E36" s="11"/>
      <c r="H36" s="40" t="s">
        <v>15</v>
      </c>
      <c r="I36" s="41">
        <f>I35*I29*L6/I32</f>
        <v>1.6037920326401209E-2</v>
      </c>
      <c r="K36" s="55" t="s">
        <v>150</v>
      </c>
      <c r="L36" s="37">
        <v>0.8</v>
      </c>
    </row>
    <row r="37" spans="1:12" x14ac:dyDescent="0.2">
      <c r="A37" s="23" t="s">
        <v>17</v>
      </c>
      <c r="B37" s="56">
        <v>220</v>
      </c>
      <c r="C37" s="63">
        <v>400</v>
      </c>
      <c r="K37" s="55" t="s">
        <v>108</v>
      </c>
      <c r="L37" s="51">
        <f>L33*L34*L36*60*(100-L35)/100*57*8/1000/1000/1.1</f>
        <v>15.746426181818189</v>
      </c>
    </row>
    <row r="38" spans="1:12" x14ac:dyDescent="0.2">
      <c r="A38" s="48" t="s">
        <v>18</v>
      </c>
      <c r="B38" s="56">
        <v>0.85</v>
      </c>
      <c r="C38" s="63">
        <v>0.85</v>
      </c>
      <c r="J38" s="27"/>
      <c r="K38" s="55" t="s">
        <v>156</v>
      </c>
      <c r="L38" s="50">
        <f>L37*24</f>
        <v>377.91422836363654</v>
      </c>
    </row>
    <row r="39" spans="1:12" x14ac:dyDescent="0.2">
      <c r="A39" s="48" t="s">
        <v>29</v>
      </c>
      <c r="B39" s="57">
        <f>24*60*B37*1.0936*B38*2*0.4536/(840*B36)</f>
        <v>2606.9129232786881</v>
      </c>
      <c r="C39" s="64">
        <f>24*60*C37*1.0936*C38*0.4536/(840*C36)</f>
        <v>2313.0427391999997</v>
      </c>
      <c r="J39" s="27"/>
      <c r="K39" s="55" t="s">
        <v>157</v>
      </c>
      <c r="L39" s="37">
        <v>5</v>
      </c>
    </row>
    <row r="40" spans="1:12" x14ac:dyDescent="0.2">
      <c r="A40" s="48" t="s">
        <v>30</v>
      </c>
      <c r="B40" s="56">
        <f>4*22.5/9</f>
        <v>10</v>
      </c>
      <c r="C40" s="63">
        <f>4*22.5/9</f>
        <v>10</v>
      </c>
      <c r="J40" s="27"/>
      <c r="K40" s="55" t="s">
        <v>158</v>
      </c>
      <c r="L40" s="37">
        <f>3*22.5</f>
        <v>67.5</v>
      </c>
    </row>
    <row r="41" spans="1:12" x14ac:dyDescent="0.2">
      <c r="A41" s="71" t="s">
        <v>31</v>
      </c>
      <c r="B41" s="72">
        <f>B40*100*E7/B39</f>
        <v>0.39659929111937886</v>
      </c>
      <c r="C41" s="65">
        <f>C40*100*E7/C39</f>
        <v>0.44698690597470975</v>
      </c>
      <c r="H41" s="8"/>
      <c r="J41" s="30"/>
      <c r="K41" s="103" t="s">
        <v>102</v>
      </c>
      <c r="L41" s="39">
        <f>L40*100*L7/L38/L39</f>
        <v>3.6818464220959037</v>
      </c>
    </row>
    <row r="42" spans="1:12" x14ac:dyDescent="0.2">
      <c r="A42" s="38" t="s">
        <v>32</v>
      </c>
      <c r="B42" s="324">
        <f>B41+C41</f>
        <v>0.84358619709408855</v>
      </c>
      <c r="C42" s="325"/>
      <c r="J42" s="27"/>
      <c r="K42" s="55" t="s">
        <v>160</v>
      </c>
      <c r="L42" s="37">
        <v>8</v>
      </c>
    </row>
    <row r="43" spans="1:12" x14ac:dyDescent="0.2">
      <c r="A43" s="73" t="s">
        <v>33</v>
      </c>
      <c r="B43" s="74">
        <v>7.5</v>
      </c>
      <c r="C43" s="66">
        <v>12.33</v>
      </c>
      <c r="J43" s="31"/>
      <c r="K43" s="55" t="s">
        <v>110</v>
      </c>
      <c r="L43" s="37">
        <f>L42*0.5*L36</f>
        <v>3.2</v>
      </c>
    </row>
    <row r="44" spans="1:12" x14ac:dyDescent="0.2">
      <c r="A44" s="48" t="s">
        <v>34</v>
      </c>
      <c r="B44" s="59">
        <f>B43*0.5*B38*24</f>
        <v>76.5</v>
      </c>
      <c r="C44" s="67">
        <f>C43*0.5*C38*24</f>
        <v>125.76599999999999</v>
      </c>
      <c r="J44" s="15"/>
      <c r="K44" s="104" t="s">
        <v>15</v>
      </c>
      <c r="L44" s="105">
        <f>L43*L7/L37</f>
        <v>0.20945615201256695</v>
      </c>
    </row>
    <row r="45" spans="1:12" x14ac:dyDescent="0.2">
      <c r="A45" s="48" t="s">
        <v>35</v>
      </c>
      <c r="B45" s="60">
        <f>B44*E7/B39</f>
        <v>3.0339845770632482E-2</v>
      </c>
      <c r="C45" s="68">
        <f>C44*E7/C39</f>
        <v>5.6215755216815343E-2</v>
      </c>
      <c r="J45" s="32"/>
    </row>
    <row r="46" spans="1:12" x14ac:dyDescent="0.2">
      <c r="A46" s="40" t="s">
        <v>36</v>
      </c>
      <c r="B46" s="61">
        <f>B45+C45</f>
        <v>8.6555600987447828E-2</v>
      </c>
      <c r="C46" s="69"/>
      <c r="J46" s="33"/>
    </row>
    <row r="47" spans="1:12" x14ac:dyDescent="0.2">
      <c r="A47" s="35" t="s">
        <v>6</v>
      </c>
      <c r="B47" s="36"/>
    </row>
    <row r="48" spans="1:12" x14ac:dyDescent="0.2">
      <c r="A48" s="48" t="s">
        <v>16</v>
      </c>
      <c r="B48" s="37">
        <v>1</v>
      </c>
      <c r="G48" s="6" t="s">
        <v>210</v>
      </c>
      <c r="H48" s="6" t="s">
        <v>11</v>
      </c>
      <c r="I48" s="7">
        <f>I17+I20+I34+M20+L41</f>
        <v>15.116281937591745</v>
      </c>
    </row>
    <row r="49" spans="1:9" x14ac:dyDescent="0.2">
      <c r="A49" s="48" t="s">
        <v>37</v>
      </c>
      <c r="B49" s="37">
        <v>0.97</v>
      </c>
      <c r="H49" s="6" t="s">
        <v>15</v>
      </c>
      <c r="I49" s="7">
        <f>I23+K23+I36+L31+M31+L44</f>
        <v>0.56644996960854177</v>
      </c>
    </row>
    <row r="50" spans="1:9" x14ac:dyDescent="0.2">
      <c r="A50" s="48" t="s">
        <v>38</v>
      </c>
      <c r="B50" s="37">
        <v>595</v>
      </c>
    </row>
    <row r="51" spans="1:9" x14ac:dyDescent="0.2">
      <c r="A51" s="48" t="s">
        <v>39</v>
      </c>
      <c r="B51" s="37">
        <v>120</v>
      </c>
      <c r="G51" s="8" t="s">
        <v>212</v>
      </c>
      <c r="H51">
        <v>0.5</v>
      </c>
    </row>
    <row r="52" spans="1:9" x14ac:dyDescent="0.2">
      <c r="A52" s="48" t="s">
        <v>18</v>
      </c>
      <c r="B52" s="37">
        <v>0.85</v>
      </c>
      <c r="G52" s="8" t="s">
        <v>210</v>
      </c>
      <c r="H52">
        <v>0.5</v>
      </c>
    </row>
    <row r="53" spans="1:9" x14ac:dyDescent="0.2">
      <c r="A53" s="48" t="s">
        <v>29</v>
      </c>
      <c r="B53" s="50">
        <f>7.2*B50*B52*B51*3/(B48*B49*1000)</f>
        <v>1351.4474226804123</v>
      </c>
    </row>
    <row r="54" spans="1:9" x14ac:dyDescent="0.2">
      <c r="A54" s="48" t="s">
        <v>30</v>
      </c>
      <c r="B54" s="37">
        <f>7*22.5</f>
        <v>157.5</v>
      </c>
    </row>
    <row r="55" spans="1:9" x14ac:dyDescent="0.2">
      <c r="A55" s="48" t="s">
        <v>40</v>
      </c>
      <c r="B55" s="37">
        <f>6*22.5</f>
        <v>135</v>
      </c>
    </row>
    <row r="56" spans="1:9" x14ac:dyDescent="0.2">
      <c r="A56" s="48" t="s">
        <v>41</v>
      </c>
      <c r="B56" s="37">
        <f>1*22.5</f>
        <v>22.5</v>
      </c>
    </row>
    <row r="57" spans="1:9" x14ac:dyDescent="0.2">
      <c r="A57" s="48" t="s">
        <v>24</v>
      </c>
      <c r="B57" s="50">
        <f>1*8</f>
        <v>8</v>
      </c>
    </row>
    <row r="58" spans="1:9" x14ac:dyDescent="0.2">
      <c r="A58" s="48" t="s">
        <v>116</v>
      </c>
      <c r="B58" s="37">
        <f>1*22.5</f>
        <v>22.5</v>
      </c>
    </row>
    <row r="59" spans="1:9" x14ac:dyDescent="0.2">
      <c r="A59" s="48" t="s">
        <v>42</v>
      </c>
      <c r="B59" s="37">
        <f>2*22.5</f>
        <v>45</v>
      </c>
    </row>
    <row r="60" spans="1:9" x14ac:dyDescent="0.2">
      <c r="A60" s="48" t="s">
        <v>43</v>
      </c>
      <c r="B60" s="51">
        <f>SUM(B54:B59)</f>
        <v>390.5</v>
      </c>
    </row>
    <row r="61" spans="1:9" x14ac:dyDescent="0.2">
      <c r="A61" s="48" t="s">
        <v>117</v>
      </c>
      <c r="B61" s="50">
        <v>7</v>
      </c>
    </row>
    <row r="62" spans="1:9" x14ac:dyDescent="0.2">
      <c r="A62" s="38" t="s">
        <v>11</v>
      </c>
      <c r="B62" s="76">
        <f>B60/B61*100*E8/B53</f>
        <v>4.2592471720985872</v>
      </c>
    </row>
    <row r="63" spans="1:9" x14ac:dyDescent="0.2">
      <c r="A63" s="48" t="s">
        <v>33</v>
      </c>
      <c r="B63" s="37">
        <v>12.62</v>
      </c>
    </row>
    <row r="64" spans="1:9" x14ac:dyDescent="0.2">
      <c r="A64" s="48" t="s">
        <v>34</v>
      </c>
      <c r="B64" s="50">
        <f>B63*0.5*24*B52</f>
        <v>128.72399999999999</v>
      </c>
    </row>
    <row r="65" spans="1:6" x14ac:dyDescent="0.2">
      <c r="A65" s="40" t="s">
        <v>15</v>
      </c>
      <c r="B65" s="41">
        <f>B64*E8/B53</f>
        <v>9.8280955976146722E-2</v>
      </c>
    </row>
    <row r="66" spans="1:6" x14ac:dyDescent="0.2">
      <c r="A66" s="6" t="s">
        <v>44</v>
      </c>
      <c r="B66" s="7">
        <f>B15+B18+F18+B32+B42+B62+(H52*I48)</f>
        <v>18.591039959436124</v>
      </c>
      <c r="C66" s="7"/>
      <c r="D66" s="7"/>
      <c r="E66" s="7"/>
      <c r="F66" s="7"/>
    </row>
    <row r="67" spans="1:6" x14ac:dyDescent="0.2">
      <c r="A67" s="6" t="s">
        <v>45</v>
      </c>
      <c r="B67" s="7">
        <f>B21+D21+B34+B46+B65+(I49*H52)</f>
        <v>0.94952233564627186</v>
      </c>
      <c r="C67" s="7"/>
      <c r="D67" s="7"/>
      <c r="E67" s="7"/>
      <c r="F67" s="7"/>
    </row>
    <row r="69" spans="1:6" x14ac:dyDescent="0.2">
      <c r="A69" s="35" t="s">
        <v>46</v>
      </c>
      <c r="B69" s="156" t="s">
        <v>209</v>
      </c>
      <c r="C69" s="13"/>
      <c r="D69" s="13"/>
      <c r="E69" s="13"/>
    </row>
    <row r="70" spans="1:6" x14ac:dyDescent="0.2">
      <c r="A70" s="48" t="s">
        <v>47</v>
      </c>
      <c r="B70" s="82">
        <v>16</v>
      </c>
    </row>
    <row r="71" spans="1:6" x14ac:dyDescent="0.2">
      <c r="A71" s="48" t="s">
        <v>48</v>
      </c>
      <c r="B71" s="82">
        <v>15.34</v>
      </c>
    </row>
    <row r="72" spans="1:6" x14ac:dyDescent="0.2">
      <c r="A72" s="48" t="s">
        <v>38</v>
      </c>
      <c r="B72" s="82">
        <v>11275</v>
      </c>
    </row>
    <row r="73" spans="1:6" x14ac:dyDescent="0.2">
      <c r="A73" s="48" t="s">
        <v>18</v>
      </c>
      <c r="B73" s="82">
        <v>0.92500000000000004</v>
      </c>
    </row>
    <row r="74" spans="1:6" x14ac:dyDescent="0.2">
      <c r="A74" s="48" t="s">
        <v>49</v>
      </c>
      <c r="B74" s="82">
        <v>0.95499999999999996</v>
      </c>
    </row>
    <row r="75" spans="1:6" x14ac:dyDescent="0.2">
      <c r="A75" s="38" t="s">
        <v>50</v>
      </c>
      <c r="B75" s="83">
        <f>7.2*B72*B73/(B70*B71)</f>
        <v>305.94646349413301</v>
      </c>
      <c r="C75" s="16"/>
      <c r="D75" s="16"/>
      <c r="E75" s="16"/>
    </row>
    <row r="76" spans="1:6" x14ac:dyDescent="0.2">
      <c r="A76" s="48" t="s">
        <v>51</v>
      </c>
      <c r="B76" s="141">
        <v>0.95</v>
      </c>
      <c r="C76" s="101"/>
      <c r="D76" s="101"/>
      <c r="E76" s="101"/>
    </row>
    <row r="77" spans="1:6" x14ac:dyDescent="0.2">
      <c r="A77" s="48" t="s">
        <v>52</v>
      </c>
      <c r="B77" s="85">
        <f>B76*(7.5+80/B70+500/B71/B71)*(B72/10000)*(B72/10000)</f>
        <v>17.662282237204789</v>
      </c>
      <c r="C77" s="17"/>
      <c r="D77" s="17"/>
      <c r="E77" s="17"/>
    </row>
    <row r="78" spans="1:6" x14ac:dyDescent="0.2">
      <c r="A78" s="38" t="s">
        <v>101</v>
      </c>
      <c r="B78" s="86">
        <f>B77*8*$E$9/B75</f>
        <v>0.46462757981736247</v>
      </c>
      <c r="C78" s="7"/>
      <c r="D78" s="7"/>
      <c r="E78" s="7"/>
    </row>
    <row r="79" spans="1:6" x14ac:dyDescent="0.2">
      <c r="A79" s="48" t="s">
        <v>118</v>
      </c>
      <c r="B79" s="82">
        <v>9.6</v>
      </c>
    </row>
    <row r="80" spans="1:6" x14ac:dyDescent="0.2">
      <c r="A80" s="48" t="s">
        <v>53</v>
      </c>
      <c r="B80" s="85">
        <f>B79*0.55*24*0.98/(1.008*B75*3)*$E$9</f>
        <v>0.13503850810618243</v>
      </c>
      <c r="C80" s="17"/>
      <c r="D80" s="17"/>
      <c r="E80" s="17"/>
    </row>
    <row r="81" spans="1:6" x14ac:dyDescent="0.2">
      <c r="A81" s="48" t="s">
        <v>54</v>
      </c>
      <c r="B81" s="82"/>
    </row>
    <row r="82" spans="1:6" x14ac:dyDescent="0.2">
      <c r="A82" s="48" t="s">
        <v>55</v>
      </c>
      <c r="B82" s="82">
        <v>900</v>
      </c>
    </row>
    <row r="83" spans="1:6" x14ac:dyDescent="0.2">
      <c r="A83" s="48" t="s">
        <v>56</v>
      </c>
      <c r="B83" s="82">
        <v>1440</v>
      </c>
    </row>
    <row r="84" spans="1:6" x14ac:dyDescent="0.2">
      <c r="A84" s="48" t="s">
        <v>57</v>
      </c>
      <c r="B84" s="82">
        <v>2460</v>
      </c>
    </row>
    <row r="85" spans="1:6" x14ac:dyDescent="0.2">
      <c r="A85" s="48" t="s">
        <v>58</v>
      </c>
      <c r="B85" s="82">
        <v>50</v>
      </c>
    </row>
    <row r="86" spans="1:6" x14ac:dyDescent="0.2">
      <c r="A86" s="48" t="s">
        <v>119</v>
      </c>
      <c r="B86" s="82">
        <v>50</v>
      </c>
    </row>
    <row r="87" spans="1:6" x14ac:dyDescent="0.2">
      <c r="A87" s="48" t="s">
        <v>59</v>
      </c>
      <c r="B87" s="82">
        <f>SUM(B82:B86)</f>
        <v>4900</v>
      </c>
    </row>
    <row r="88" spans="1:6" x14ac:dyDescent="0.2">
      <c r="A88" s="48" t="s">
        <v>60</v>
      </c>
      <c r="B88" s="82">
        <v>18144</v>
      </c>
    </row>
    <row r="89" spans="1:6" x14ac:dyDescent="0.2">
      <c r="A89" s="48" t="s">
        <v>61</v>
      </c>
      <c r="B89" s="150">
        <v>0.96550000000000002</v>
      </c>
      <c r="C89" s="153"/>
      <c r="D89" s="153"/>
      <c r="E89" s="153"/>
      <c r="F89" s="153"/>
    </row>
    <row r="90" spans="1:6" x14ac:dyDescent="0.2">
      <c r="A90" s="48" t="s">
        <v>62</v>
      </c>
      <c r="B90" s="88">
        <f>B87*1000/(B88*3*B89)</f>
        <v>93.237261658919991</v>
      </c>
      <c r="C90" s="9"/>
      <c r="D90" s="9"/>
      <c r="E90" s="9"/>
    </row>
    <row r="91" spans="1:6" x14ac:dyDescent="0.2">
      <c r="A91" s="48" t="s">
        <v>63</v>
      </c>
      <c r="B91" s="85">
        <f>B90*$E$9/B75</f>
        <v>0.30658979012158244</v>
      </c>
      <c r="C91" s="17"/>
      <c r="D91" s="17"/>
      <c r="E91" s="17"/>
    </row>
    <row r="92" spans="1:6" x14ac:dyDescent="0.2">
      <c r="A92" s="38" t="s">
        <v>64</v>
      </c>
      <c r="B92" s="86">
        <f>(B91+B80)</f>
        <v>0.44162829822776484</v>
      </c>
      <c r="C92" s="7"/>
      <c r="D92" s="7"/>
      <c r="E92" s="7"/>
    </row>
    <row r="93" spans="1:6" x14ac:dyDescent="0.2">
      <c r="A93" s="48" t="s">
        <v>65</v>
      </c>
      <c r="B93" s="150">
        <f>3*504</f>
        <v>1512</v>
      </c>
      <c r="C93" s="153"/>
      <c r="D93" s="153"/>
      <c r="E93" s="153"/>
      <c r="F93" s="153"/>
    </row>
    <row r="94" spans="1:6" x14ac:dyDescent="0.2">
      <c r="A94" s="38" t="s">
        <v>66</v>
      </c>
      <c r="B94" s="89">
        <f>7.5*100*$E$9/(B93*B75/1000)*7/6</f>
        <v>1.9029371294724935</v>
      </c>
      <c r="C94" s="12"/>
      <c r="D94" s="12"/>
      <c r="E94" s="12"/>
    </row>
    <row r="95" spans="1:6" x14ac:dyDescent="0.2">
      <c r="A95" s="48" t="s">
        <v>67</v>
      </c>
      <c r="B95" s="141">
        <v>7850</v>
      </c>
      <c r="C95" s="101"/>
      <c r="D95" s="101"/>
      <c r="E95" s="101"/>
    </row>
    <row r="96" spans="1:6" x14ac:dyDescent="0.2">
      <c r="A96" s="48" t="s">
        <v>68</v>
      </c>
      <c r="B96" s="150">
        <f>12*22.5</f>
        <v>270</v>
      </c>
      <c r="C96" s="153"/>
      <c r="D96" s="153"/>
      <c r="E96" s="153"/>
    </row>
    <row r="97" spans="1:5" x14ac:dyDescent="0.2">
      <c r="A97" s="38" t="s">
        <v>69</v>
      </c>
      <c r="B97" s="89">
        <f>B96*100*$E$9/B95</f>
        <v>3.4602519576055055</v>
      </c>
      <c r="C97" s="12"/>
      <c r="D97" s="12"/>
      <c r="E97" s="12"/>
    </row>
    <row r="98" spans="1:5" x14ac:dyDescent="0.2">
      <c r="A98" s="48" t="s">
        <v>70</v>
      </c>
      <c r="B98" s="82"/>
    </row>
    <row r="99" spans="1:5" x14ac:dyDescent="0.2">
      <c r="A99" s="48" t="s">
        <v>41</v>
      </c>
      <c r="B99" s="82">
        <f>1*22.5</f>
        <v>22.5</v>
      </c>
    </row>
    <row r="100" spans="1:5" x14ac:dyDescent="0.2">
      <c r="A100" s="48" t="s">
        <v>71</v>
      </c>
      <c r="B100" s="82">
        <f>1*22.5</f>
        <v>22.5</v>
      </c>
    </row>
    <row r="101" spans="1:5" x14ac:dyDescent="0.2">
      <c r="A101" s="48" t="s">
        <v>72</v>
      </c>
      <c r="B101" s="82">
        <f>3*22.5</f>
        <v>67.5</v>
      </c>
    </row>
    <row r="102" spans="1:5" x14ac:dyDescent="0.2">
      <c r="A102" s="48" t="s">
        <v>120</v>
      </c>
      <c r="B102" s="82">
        <f>12*8</f>
        <v>96</v>
      </c>
    </row>
    <row r="103" spans="1:5" x14ac:dyDescent="0.2">
      <c r="A103" s="48" t="s">
        <v>73</v>
      </c>
      <c r="B103" s="82">
        <f>26*8</f>
        <v>208</v>
      </c>
    </row>
    <row r="104" spans="1:5" x14ac:dyDescent="0.2">
      <c r="A104" s="48" t="s">
        <v>74</v>
      </c>
      <c r="B104" s="82">
        <f>3*8</f>
        <v>24</v>
      </c>
    </row>
    <row r="105" spans="1:5" x14ac:dyDescent="0.2">
      <c r="A105" s="48" t="s">
        <v>42</v>
      </c>
      <c r="B105" s="82">
        <f>5*22.5</f>
        <v>112.5</v>
      </c>
    </row>
    <row r="106" spans="1:5" x14ac:dyDescent="0.2">
      <c r="A106" s="48" t="s">
        <v>75</v>
      </c>
      <c r="B106" s="82">
        <f>3*7</f>
        <v>21</v>
      </c>
    </row>
    <row r="107" spans="1:5" x14ac:dyDescent="0.2">
      <c r="A107" s="48" t="s">
        <v>76</v>
      </c>
      <c r="B107" s="90">
        <f>58*0.8</f>
        <v>46.400000000000006</v>
      </c>
      <c r="C107" s="11"/>
      <c r="D107" s="11"/>
      <c r="E107" s="11"/>
    </row>
    <row r="108" spans="1:5" x14ac:dyDescent="0.2">
      <c r="A108" s="48" t="s">
        <v>122</v>
      </c>
      <c r="B108" s="90">
        <f>9*8*0.8</f>
        <v>57.6</v>
      </c>
      <c r="C108" s="11"/>
      <c r="D108" s="11"/>
      <c r="E108" s="11"/>
    </row>
    <row r="109" spans="1:5" x14ac:dyDescent="0.2">
      <c r="A109" s="48" t="s">
        <v>121</v>
      </c>
      <c r="B109" s="90">
        <f>1*8*0.8</f>
        <v>6.4</v>
      </c>
      <c r="C109" s="11"/>
      <c r="D109" s="11"/>
      <c r="E109" s="11"/>
    </row>
    <row r="110" spans="1:5" x14ac:dyDescent="0.2">
      <c r="A110" s="48" t="s">
        <v>77</v>
      </c>
      <c r="B110" s="90">
        <f>1*8*0.8</f>
        <v>6.4</v>
      </c>
      <c r="C110" s="11"/>
      <c r="D110" s="11"/>
      <c r="E110" s="11"/>
    </row>
    <row r="111" spans="1:5" x14ac:dyDescent="0.2">
      <c r="A111" s="48" t="s">
        <v>78</v>
      </c>
      <c r="B111" s="90">
        <f>2*8*0.8</f>
        <v>12.8</v>
      </c>
      <c r="C111" s="11"/>
      <c r="D111" s="11"/>
      <c r="E111" s="11"/>
    </row>
    <row r="112" spans="1:5" x14ac:dyDescent="0.2">
      <c r="A112" s="48" t="s">
        <v>79</v>
      </c>
      <c r="B112" s="90">
        <f>4*8*0.8</f>
        <v>25.6</v>
      </c>
      <c r="C112" s="11"/>
      <c r="D112" s="11"/>
      <c r="E112" s="11"/>
    </row>
    <row r="113" spans="1:5" x14ac:dyDescent="0.2">
      <c r="A113" s="48" t="s">
        <v>80</v>
      </c>
      <c r="B113" s="90">
        <f>SUM(B99:B112)</f>
        <v>729.19999999999993</v>
      </c>
      <c r="C113" s="11"/>
      <c r="D113" s="11"/>
      <c r="E113" s="11"/>
    </row>
    <row r="114" spans="1:5" x14ac:dyDescent="0.2">
      <c r="A114" s="48" t="s">
        <v>81</v>
      </c>
      <c r="B114" s="88">
        <f>B113*1000/(B88*3*B89)</f>
        <v>13.875226775853967</v>
      </c>
      <c r="C114" s="9"/>
      <c r="D114" s="9"/>
      <c r="E114" s="9"/>
    </row>
    <row r="115" spans="1:5" x14ac:dyDescent="0.2">
      <c r="A115" s="40" t="s">
        <v>82</v>
      </c>
      <c r="B115" s="91">
        <f>B114*100*$E$9/B75</f>
        <v>4.5625566317685271</v>
      </c>
      <c r="C115" s="7"/>
      <c r="D115" s="7"/>
      <c r="E115" s="7"/>
    </row>
    <row r="116" spans="1:5" x14ac:dyDescent="0.2">
      <c r="A116" s="82"/>
    </row>
    <row r="117" spans="1:5" x14ac:dyDescent="0.2">
      <c r="A117" s="35" t="s">
        <v>8</v>
      </c>
      <c r="B117" s="62"/>
    </row>
    <row r="118" spans="1:5" x14ac:dyDescent="0.2">
      <c r="A118" s="23" t="s">
        <v>47</v>
      </c>
      <c r="B118" s="82">
        <f>B70</f>
        <v>16</v>
      </c>
    </row>
    <row r="119" spans="1:5" x14ac:dyDescent="0.2">
      <c r="A119" s="48" t="s">
        <v>17</v>
      </c>
      <c r="B119" s="82">
        <v>1350</v>
      </c>
    </row>
    <row r="120" spans="1:5" x14ac:dyDescent="0.2">
      <c r="A120" s="23" t="s">
        <v>83</v>
      </c>
      <c r="B120" s="82">
        <v>60</v>
      </c>
    </row>
    <row r="121" spans="1:5" x14ac:dyDescent="0.2">
      <c r="A121" s="48" t="s">
        <v>84</v>
      </c>
      <c r="B121" s="82">
        <v>0.7</v>
      </c>
    </row>
    <row r="122" spans="1:5" x14ac:dyDescent="0.2">
      <c r="A122" s="23" t="s">
        <v>85</v>
      </c>
      <c r="B122" s="90">
        <f>B119*1.0936*23.5*60*B121*B120/(840*B118)*0.4536</f>
        <v>2950.7638229999998</v>
      </c>
      <c r="C122" s="11"/>
      <c r="D122" s="11"/>
      <c r="E122" s="11"/>
    </row>
    <row r="123" spans="1:5" x14ac:dyDescent="0.2">
      <c r="A123" s="23" t="s">
        <v>86</v>
      </c>
      <c r="B123" s="150">
        <v>12.77</v>
      </c>
      <c r="C123" s="153"/>
      <c r="D123" s="153"/>
      <c r="E123" s="153"/>
    </row>
    <row r="124" spans="1:5" x14ac:dyDescent="0.2">
      <c r="A124" s="23" t="s">
        <v>87</v>
      </c>
      <c r="B124" s="88">
        <f>690/5/24</f>
        <v>5.75</v>
      </c>
      <c r="C124" s="9"/>
      <c r="D124" s="9"/>
      <c r="E124" s="9"/>
    </row>
    <row r="125" spans="1:5" x14ac:dyDescent="0.2">
      <c r="A125" s="23" t="s">
        <v>88</v>
      </c>
      <c r="B125" s="88">
        <f>SUM(B123:B124)</f>
        <v>18.52</v>
      </c>
      <c r="C125" s="9"/>
      <c r="D125" s="9"/>
      <c r="E125" s="9"/>
    </row>
    <row r="126" spans="1:5" x14ac:dyDescent="0.2">
      <c r="A126" s="38" t="s">
        <v>35</v>
      </c>
      <c r="B126" s="86">
        <f>B125*23.5/B122</f>
        <v>0.14749401378979832</v>
      </c>
      <c r="C126" s="7"/>
      <c r="D126" s="7"/>
      <c r="E126" s="7"/>
    </row>
    <row r="127" spans="1:5" x14ac:dyDescent="0.2">
      <c r="A127" s="23" t="s">
        <v>89</v>
      </c>
      <c r="B127" s="82">
        <f>3*22.5</f>
        <v>67.5</v>
      </c>
    </row>
    <row r="128" spans="1:5" x14ac:dyDescent="0.2">
      <c r="A128" s="23" t="s">
        <v>123</v>
      </c>
      <c r="B128" s="88">
        <f>2*22.5</f>
        <v>45</v>
      </c>
      <c r="C128" s="9"/>
      <c r="D128" s="9"/>
      <c r="E128" s="9"/>
    </row>
    <row r="129" spans="1:5" x14ac:dyDescent="0.2">
      <c r="A129" s="23" t="s">
        <v>124</v>
      </c>
      <c r="B129" s="88">
        <f>2*22.5</f>
        <v>45</v>
      </c>
      <c r="C129" s="9"/>
      <c r="D129" s="9"/>
      <c r="E129" s="9"/>
    </row>
    <row r="130" spans="1:5" x14ac:dyDescent="0.2">
      <c r="A130" s="23" t="s">
        <v>90</v>
      </c>
      <c r="B130" s="88">
        <f>3*22.5</f>
        <v>67.5</v>
      </c>
      <c r="C130" s="9"/>
      <c r="D130" s="9"/>
      <c r="E130" s="9"/>
    </row>
    <row r="131" spans="1:5" x14ac:dyDescent="0.2">
      <c r="A131" s="23" t="s">
        <v>41</v>
      </c>
      <c r="B131" s="88">
        <f>1*22.5</f>
        <v>22.5</v>
      </c>
      <c r="C131" s="9"/>
      <c r="D131" s="9"/>
      <c r="E131" s="9"/>
    </row>
    <row r="132" spans="1:5" x14ac:dyDescent="0.2">
      <c r="A132" s="23" t="s">
        <v>42</v>
      </c>
      <c r="B132" s="88">
        <f>2*22.5</f>
        <v>45</v>
      </c>
      <c r="C132" s="9"/>
      <c r="D132" s="9"/>
      <c r="E132" s="9"/>
    </row>
    <row r="133" spans="1:5" x14ac:dyDescent="0.2">
      <c r="A133" s="23" t="s">
        <v>91</v>
      </c>
      <c r="B133" s="88">
        <f>1*22.5</f>
        <v>22.5</v>
      </c>
      <c r="C133" s="9"/>
      <c r="D133" s="9"/>
      <c r="E133" s="9"/>
    </row>
    <row r="134" spans="1:5" x14ac:dyDescent="0.2">
      <c r="A134" s="23" t="s">
        <v>125</v>
      </c>
      <c r="B134" s="88">
        <f>3*8</f>
        <v>24</v>
      </c>
      <c r="C134" s="9"/>
      <c r="D134" s="9"/>
      <c r="E134" s="9"/>
    </row>
    <row r="135" spans="1:5" x14ac:dyDescent="0.2">
      <c r="A135" s="23" t="s">
        <v>126</v>
      </c>
      <c r="B135" s="88">
        <f>SUM(B127:B134)</f>
        <v>339</v>
      </c>
      <c r="C135" s="9"/>
      <c r="D135" s="9"/>
      <c r="E135" s="9"/>
    </row>
    <row r="136" spans="1:5" x14ac:dyDescent="0.2">
      <c r="A136" s="40" t="s">
        <v>31</v>
      </c>
      <c r="B136" s="94">
        <f>B135/5*100/B122</f>
        <v>2.2977101546225649</v>
      </c>
      <c r="C136" s="12"/>
      <c r="D136" s="12"/>
      <c r="E136" s="12"/>
    </row>
    <row r="137" spans="1:5" x14ac:dyDescent="0.2">
      <c r="A137" s="35" t="s">
        <v>92</v>
      </c>
      <c r="B137" s="62"/>
    </row>
    <row r="138" spans="1:5" x14ac:dyDescent="0.2">
      <c r="A138" s="23" t="s">
        <v>93</v>
      </c>
      <c r="B138" s="82"/>
    </row>
    <row r="139" spans="1:5" x14ac:dyDescent="0.2">
      <c r="A139" s="23" t="s">
        <v>140</v>
      </c>
      <c r="B139" s="82"/>
    </row>
    <row r="140" spans="1:5" x14ac:dyDescent="0.2">
      <c r="A140" s="23" t="s">
        <v>102</v>
      </c>
      <c r="B140" s="82"/>
    </row>
    <row r="141" spans="1:5" x14ac:dyDescent="0.2">
      <c r="A141" s="23" t="s">
        <v>127</v>
      </c>
      <c r="B141" s="82">
        <v>40.799999999999997</v>
      </c>
    </row>
    <row r="142" spans="1:5" x14ac:dyDescent="0.2">
      <c r="A142" s="23" t="s">
        <v>128</v>
      </c>
      <c r="B142" s="82">
        <v>37</v>
      </c>
    </row>
    <row r="143" spans="1:5" x14ac:dyDescent="0.2">
      <c r="A143" s="23" t="s">
        <v>102</v>
      </c>
      <c r="B143" s="85">
        <f>8*100/B141/B142</f>
        <v>0.52994170641229466</v>
      </c>
      <c r="C143" s="17"/>
      <c r="D143" s="17"/>
      <c r="E143" s="17"/>
    </row>
    <row r="144" spans="1:5" x14ac:dyDescent="0.2">
      <c r="A144" s="23" t="s">
        <v>129</v>
      </c>
      <c r="B144" s="90">
        <v>6000</v>
      </c>
      <c r="C144" s="11"/>
      <c r="D144" s="11"/>
      <c r="E144" s="11"/>
    </row>
    <row r="145" spans="1:5" x14ac:dyDescent="0.2">
      <c r="A145" s="23" t="s">
        <v>130</v>
      </c>
      <c r="B145" s="88">
        <f>9*8</f>
        <v>72</v>
      </c>
      <c r="C145" s="9"/>
      <c r="D145" s="9"/>
      <c r="E145" s="9"/>
    </row>
    <row r="146" spans="1:5" x14ac:dyDescent="0.2">
      <c r="A146" s="23" t="s">
        <v>102</v>
      </c>
      <c r="B146" s="95">
        <f>B145*100/B144</f>
        <v>1.2</v>
      </c>
      <c r="C146" s="14"/>
      <c r="D146" s="14"/>
      <c r="E146" s="14"/>
    </row>
    <row r="147" spans="1:5" x14ac:dyDescent="0.2">
      <c r="A147" s="23" t="s">
        <v>131</v>
      </c>
      <c r="B147" s="90">
        <v>12000</v>
      </c>
      <c r="C147" s="11"/>
      <c r="D147" s="11"/>
      <c r="E147" s="11"/>
    </row>
    <row r="148" spans="1:5" x14ac:dyDescent="0.2">
      <c r="A148" s="23" t="s">
        <v>130</v>
      </c>
      <c r="B148" s="90">
        <f>2*8</f>
        <v>16</v>
      </c>
      <c r="C148" s="11"/>
      <c r="D148" s="11"/>
      <c r="E148" s="11"/>
    </row>
    <row r="149" spans="1:5" x14ac:dyDescent="0.2">
      <c r="A149" s="23" t="s">
        <v>31</v>
      </c>
      <c r="B149" s="85">
        <f>B148*100/B147</f>
        <v>0.13333333333333333</v>
      </c>
      <c r="C149" s="17"/>
      <c r="D149" s="17"/>
      <c r="E149" s="17"/>
    </row>
    <row r="150" spans="1:5" x14ac:dyDescent="0.2">
      <c r="A150" s="23" t="s">
        <v>132</v>
      </c>
      <c r="B150" s="90">
        <v>12000</v>
      </c>
      <c r="C150" s="11"/>
      <c r="D150" s="11"/>
      <c r="E150" s="11"/>
    </row>
    <row r="151" spans="1:5" x14ac:dyDescent="0.2">
      <c r="A151" s="23" t="s">
        <v>130</v>
      </c>
      <c r="B151" s="90">
        <f>4*8</f>
        <v>32</v>
      </c>
      <c r="C151" s="11"/>
      <c r="D151" s="11"/>
      <c r="E151" s="11"/>
    </row>
    <row r="152" spans="1:5" x14ac:dyDescent="0.2">
      <c r="A152" s="23" t="s">
        <v>31</v>
      </c>
      <c r="B152" s="85">
        <f>B151*100/B150</f>
        <v>0.26666666666666666</v>
      </c>
      <c r="C152" s="17"/>
      <c r="D152" s="17"/>
      <c r="E152" s="17"/>
    </row>
    <row r="153" spans="1:5" x14ac:dyDescent="0.2">
      <c r="A153" s="38" t="s">
        <v>31</v>
      </c>
      <c r="B153" s="89">
        <f>B140+B143+B146+B149+B152</f>
        <v>2.1299417064122945</v>
      </c>
      <c r="C153" s="12"/>
      <c r="D153" s="12"/>
      <c r="E153" s="12"/>
    </row>
    <row r="154" spans="1:5" x14ac:dyDescent="0.2">
      <c r="A154" s="23" t="s">
        <v>134</v>
      </c>
      <c r="B154" s="152">
        <v>0</v>
      </c>
      <c r="C154" s="151"/>
      <c r="D154" s="151"/>
      <c r="E154" s="151"/>
    </row>
    <row r="155" spans="1:5" x14ac:dyDescent="0.2">
      <c r="A155" s="23" t="s">
        <v>136</v>
      </c>
      <c r="B155" s="82">
        <v>0</v>
      </c>
    </row>
    <row r="156" spans="1:5" x14ac:dyDescent="0.2">
      <c r="A156" s="23" t="s">
        <v>138</v>
      </c>
      <c r="B156" s="82">
        <v>0</v>
      </c>
    </row>
    <row r="157" spans="1:5" x14ac:dyDescent="0.2">
      <c r="A157" s="23" t="s">
        <v>133</v>
      </c>
      <c r="B157" s="152">
        <v>0.5</v>
      </c>
      <c r="C157" s="151"/>
      <c r="D157" s="151"/>
      <c r="E157" s="151"/>
    </row>
    <row r="158" spans="1:5" x14ac:dyDescent="0.2">
      <c r="A158" s="23" t="s">
        <v>137</v>
      </c>
      <c r="B158" s="88">
        <v>0.75</v>
      </c>
      <c r="C158" s="9"/>
      <c r="D158" s="9"/>
      <c r="E158" s="9"/>
    </row>
    <row r="159" spans="1:5" x14ac:dyDescent="0.2">
      <c r="A159" s="23" t="s">
        <v>139</v>
      </c>
      <c r="B159" s="90">
        <v>455</v>
      </c>
      <c r="C159" s="11"/>
      <c r="D159" s="11"/>
      <c r="E159" s="11"/>
    </row>
    <row r="160" spans="1:5" x14ac:dyDescent="0.2">
      <c r="A160" s="23" t="s">
        <v>135</v>
      </c>
      <c r="B160" s="82"/>
    </row>
    <row r="161" spans="1:5" x14ac:dyDescent="0.2">
      <c r="A161" s="40" t="s">
        <v>15</v>
      </c>
      <c r="B161" s="91">
        <f>B157*0.5*B158/60*1.25/B141</f>
        <v>9.5741421568627463E-5</v>
      </c>
      <c r="C161" s="7"/>
      <c r="D161" s="7"/>
      <c r="E161" s="7"/>
    </row>
    <row r="163" spans="1:5" x14ac:dyDescent="0.2">
      <c r="B163" s="9"/>
      <c r="C163" s="9"/>
      <c r="D163" s="9"/>
      <c r="E163" s="9"/>
    </row>
    <row r="164" spans="1:5" x14ac:dyDescent="0.2">
      <c r="A164" s="35" t="s">
        <v>94</v>
      </c>
      <c r="B164" s="97" t="str">
        <f>B69</f>
        <v>16s M/C</v>
      </c>
      <c r="C164" s="18"/>
      <c r="D164" s="18"/>
      <c r="E164" s="18"/>
    </row>
    <row r="165" spans="1:5" x14ac:dyDescent="0.2">
      <c r="A165" s="38" t="s">
        <v>95</v>
      </c>
      <c r="B165" s="98">
        <f>B75</f>
        <v>305.94646349413301</v>
      </c>
      <c r="C165" s="19"/>
      <c r="D165" s="19"/>
      <c r="E165" s="19"/>
    </row>
    <row r="166" spans="1:5" x14ac:dyDescent="0.2">
      <c r="A166" s="38" t="s">
        <v>96</v>
      </c>
      <c r="B166" s="99">
        <f>B78</f>
        <v>0.46462757981736247</v>
      </c>
      <c r="C166" s="20"/>
      <c r="D166" s="20"/>
      <c r="E166" s="20"/>
    </row>
    <row r="167" spans="1:5" x14ac:dyDescent="0.2">
      <c r="A167" s="38" t="s">
        <v>64</v>
      </c>
      <c r="B167" s="99">
        <f>B92</f>
        <v>0.44162829822776484</v>
      </c>
      <c r="C167" s="20"/>
      <c r="D167" s="20"/>
      <c r="E167" s="20"/>
    </row>
    <row r="168" spans="1:5" x14ac:dyDescent="0.2">
      <c r="A168" s="38" t="s">
        <v>97</v>
      </c>
      <c r="B168" s="99">
        <f>B67+B126+B161</f>
        <v>1.0971120908576388</v>
      </c>
      <c r="C168" s="20"/>
      <c r="D168" s="20"/>
      <c r="E168" s="20"/>
    </row>
    <row r="169" spans="1:5" x14ac:dyDescent="0.2">
      <c r="A169" s="38" t="s">
        <v>98</v>
      </c>
      <c r="B169" s="99">
        <f>B66+B94+B97+B115</f>
        <v>28.516785678282648</v>
      </c>
      <c r="C169" s="20"/>
      <c r="D169" s="20"/>
      <c r="E169" s="20"/>
    </row>
    <row r="170" spans="1:5" x14ac:dyDescent="0.2">
      <c r="A170" s="38" t="s">
        <v>99</v>
      </c>
      <c r="B170" s="99">
        <f>B136</f>
        <v>2.2977101546225649</v>
      </c>
      <c r="C170" s="20"/>
      <c r="D170" s="20"/>
      <c r="E170" s="20"/>
    </row>
    <row r="171" spans="1:5" x14ac:dyDescent="0.2">
      <c r="A171" s="38" t="s">
        <v>100</v>
      </c>
      <c r="B171" s="99">
        <f>B153</f>
        <v>2.1299417064122945</v>
      </c>
      <c r="C171" s="20"/>
      <c r="D171" s="20"/>
      <c r="E171" s="20"/>
    </row>
    <row r="172" spans="1:5" x14ac:dyDescent="0.2">
      <c r="A172" s="40" t="s">
        <v>141</v>
      </c>
      <c r="B172" s="100"/>
    </row>
    <row r="173" spans="1:5" x14ac:dyDescent="0.2">
      <c r="A173" s="6"/>
      <c r="B173" s="13"/>
    </row>
    <row r="174" spans="1:5" x14ac:dyDescent="0.2">
      <c r="A174" s="6"/>
    </row>
    <row r="175" spans="1:5" x14ac:dyDescent="0.2">
      <c r="A175" s="6"/>
      <c r="B175" s="18"/>
    </row>
    <row r="176" spans="1:5" x14ac:dyDescent="0.2">
      <c r="A176" s="6"/>
      <c r="B176" s="19"/>
    </row>
    <row r="177" spans="1:2" x14ac:dyDescent="0.2">
      <c r="A177" s="6"/>
      <c r="B177" s="20"/>
    </row>
    <row r="178" spans="1:2" x14ac:dyDescent="0.2">
      <c r="A178" s="6"/>
      <c r="B178" s="20"/>
    </row>
    <row r="179" spans="1:2" x14ac:dyDescent="0.2">
      <c r="A179" s="6"/>
      <c r="B179" s="20"/>
    </row>
    <row r="180" spans="1:2" x14ac:dyDescent="0.2">
      <c r="A180" s="6"/>
      <c r="B180" s="20"/>
    </row>
    <row r="181" spans="1:2" x14ac:dyDescent="0.2">
      <c r="A181" s="6"/>
      <c r="B181" s="20"/>
    </row>
    <row r="182" spans="1:2" x14ac:dyDescent="0.2">
      <c r="A182" s="6"/>
      <c r="B182" s="20"/>
    </row>
    <row r="183" spans="1:2" x14ac:dyDescent="0.2">
      <c r="A183" s="6"/>
      <c r="B183" s="18"/>
    </row>
  </sheetData>
  <mergeCells count="2">
    <mergeCell ref="A2:F2"/>
    <mergeCell ref="B42:C42"/>
  </mergeCells>
  <phoneticPr fontId="0" type="noConversion"/>
  <pageMargins left="0.75" right="0.75" top="0.28999999999999998" bottom="0.38" header="0.22" footer="0.35"/>
  <pageSetup scale="64" orientation="portrait" r:id="rId1"/>
  <headerFooter alignWithMargins="0"/>
  <rowBreaks count="2" manualBreakCount="2">
    <brk id="65" max="16383" man="1"/>
    <brk id="1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8"/>
  <sheetViews>
    <sheetView topLeftCell="A105" zoomScale="115" zoomScaleNormal="115" workbookViewId="0">
      <selection activeCell="B133" sqref="B133"/>
    </sheetView>
  </sheetViews>
  <sheetFormatPr defaultRowHeight="12.75" x14ac:dyDescent="0.2"/>
  <cols>
    <col min="1" max="1" width="23.140625" customWidth="1"/>
    <col min="2" max="2" width="14.140625" customWidth="1"/>
    <col min="4" max="4" width="10" customWidth="1"/>
  </cols>
  <sheetData>
    <row r="1" spans="1:8" x14ac:dyDescent="0.2">
      <c r="A1" s="6" t="s">
        <v>142</v>
      </c>
    </row>
    <row r="2" spans="1:8" x14ac:dyDescent="0.2">
      <c r="A2" s="321" t="s">
        <v>103</v>
      </c>
      <c r="B2" s="322"/>
      <c r="C2" s="322"/>
      <c r="D2" s="322"/>
      <c r="E2" s="322"/>
      <c r="F2" s="323"/>
      <c r="G2" s="3"/>
      <c r="H2" s="3"/>
    </row>
    <row r="3" spans="1:8" x14ac:dyDescent="0.2">
      <c r="A3" s="28" t="s">
        <v>217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 x14ac:dyDescent="0.2">
      <c r="A4" s="1"/>
      <c r="B4" s="1" t="s">
        <v>2</v>
      </c>
      <c r="C4" s="1"/>
      <c r="D4" s="1">
        <v>100</v>
      </c>
      <c r="E4" s="4">
        <f t="shared" ref="E4:E10" si="0">D4/$D$10</f>
        <v>1.0689455997238206</v>
      </c>
      <c r="F4" s="1"/>
      <c r="G4" s="3"/>
      <c r="H4" s="3"/>
    </row>
    <row r="5" spans="1:8" x14ac:dyDescent="0.2">
      <c r="A5" s="1"/>
      <c r="B5" s="1" t="s">
        <v>3</v>
      </c>
      <c r="C5" s="1">
        <v>0.3</v>
      </c>
      <c r="D5" s="1">
        <f>D4-C5</f>
        <v>99.7</v>
      </c>
      <c r="E5" s="4">
        <f t="shared" si="0"/>
        <v>1.0657387629246491</v>
      </c>
      <c r="F5" s="1"/>
      <c r="G5" s="3"/>
      <c r="H5" s="3"/>
    </row>
    <row r="6" spans="1:8" x14ac:dyDescent="0.2">
      <c r="A6" s="1"/>
      <c r="B6" s="1" t="s">
        <v>4</v>
      </c>
      <c r="C6" s="1">
        <v>2.5</v>
      </c>
      <c r="D6" s="5">
        <f>D5-D5*(C6/100)</f>
        <v>97.207499999999996</v>
      </c>
      <c r="E6" s="4">
        <f t="shared" si="0"/>
        <v>1.039095293851533</v>
      </c>
      <c r="F6" s="1"/>
      <c r="G6" s="3"/>
      <c r="H6" s="3"/>
    </row>
    <row r="7" spans="1:8" x14ac:dyDescent="0.2">
      <c r="A7" s="1"/>
      <c r="B7" s="1" t="s">
        <v>5</v>
      </c>
      <c r="C7" s="1">
        <v>0.5</v>
      </c>
      <c r="D7" s="5">
        <f>D6-D6*(C7/100)</f>
        <v>96.721462500000001</v>
      </c>
      <c r="E7" s="4">
        <f t="shared" si="0"/>
        <v>1.0338998173822753</v>
      </c>
      <c r="F7" s="1"/>
      <c r="G7" s="3"/>
      <c r="H7" s="3"/>
    </row>
    <row r="8" spans="1:8" x14ac:dyDescent="0.2">
      <c r="A8" s="1"/>
      <c r="B8" s="1" t="s">
        <v>6</v>
      </c>
      <c r="C8" s="1">
        <v>0.2</v>
      </c>
      <c r="D8" s="5">
        <f>D7-D7*(C8/100)</f>
        <v>96.528019575000002</v>
      </c>
      <c r="E8" s="4">
        <f t="shared" si="0"/>
        <v>1.0318320177475107</v>
      </c>
      <c r="F8" s="1"/>
      <c r="G8" s="3"/>
      <c r="H8" s="3"/>
    </row>
    <row r="9" spans="1:8" x14ac:dyDescent="0.2">
      <c r="A9" s="1"/>
      <c r="B9" s="1" t="s">
        <v>7</v>
      </c>
      <c r="C9" s="1">
        <v>2.5</v>
      </c>
      <c r="D9" s="5">
        <f>D8-D8*(C9/100)</f>
        <v>94.114819085625001</v>
      </c>
      <c r="E9" s="4">
        <f t="shared" si="0"/>
        <v>1.0060362173038229</v>
      </c>
      <c r="F9" s="1"/>
      <c r="G9" s="3"/>
      <c r="H9" s="3"/>
    </row>
    <row r="10" spans="1:8" x14ac:dyDescent="0.2">
      <c r="A10" s="1"/>
      <c r="B10" s="1" t="s">
        <v>8</v>
      </c>
      <c r="C10" s="1">
        <v>0.6</v>
      </c>
      <c r="D10" s="5">
        <f>D9-D9*(C10/100)</f>
        <v>93.550130171111249</v>
      </c>
      <c r="E10" s="4">
        <f t="shared" si="0"/>
        <v>1</v>
      </c>
      <c r="F10" s="1"/>
      <c r="G10" s="3"/>
      <c r="H10" s="3"/>
    </row>
    <row r="12" spans="1:8" x14ac:dyDescent="0.2">
      <c r="A12" s="35" t="s">
        <v>2</v>
      </c>
      <c r="B12" s="36"/>
      <c r="C12" s="35" t="s">
        <v>104</v>
      </c>
      <c r="D12" s="22"/>
      <c r="E12" s="22" t="s">
        <v>111</v>
      </c>
      <c r="F12" s="36">
        <f>2*22.5</f>
        <v>45</v>
      </c>
    </row>
    <row r="13" spans="1:8" x14ac:dyDescent="0.2">
      <c r="A13" s="23" t="s">
        <v>9</v>
      </c>
      <c r="B13" s="37">
        <f>5*8</f>
        <v>40</v>
      </c>
      <c r="C13" s="23" t="s">
        <v>105</v>
      </c>
      <c r="D13" s="3">
        <v>26.25</v>
      </c>
      <c r="E13" s="3" t="s">
        <v>112</v>
      </c>
      <c r="F13" s="37">
        <f>1*22.5</f>
        <v>22.5</v>
      </c>
    </row>
    <row r="14" spans="1:8" x14ac:dyDescent="0.2">
      <c r="A14" s="23" t="s">
        <v>10</v>
      </c>
      <c r="B14" s="37">
        <v>9000</v>
      </c>
      <c r="C14" s="23" t="s">
        <v>106</v>
      </c>
      <c r="D14" s="3">
        <v>6</v>
      </c>
      <c r="E14" s="3" t="s">
        <v>113</v>
      </c>
      <c r="F14" s="37">
        <v>22.5</v>
      </c>
    </row>
    <row r="15" spans="1:8" x14ac:dyDescent="0.2">
      <c r="A15" s="38" t="s">
        <v>11</v>
      </c>
      <c r="B15" s="39">
        <f>B13*100*E4/B14</f>
        <v>0.47508693321058693</v>
      </c>
      <c r="C15" s="23" t="s">
        <v>107</v>
      </c>
      <c r="D15" s="3">
        <v>0.85</v>
      </c>
      <c r="E15" s="3" t="s">
        <v>114</v>
      </c>
      <c r="F15" s="37">
        <v>22.5</v>
      </c>
    </row>
    <row r="16" spans="1:8" x14ac:dyDescent="0.2">
      <c r="A16" s="23" t="s">
        <v>12</v>
      </c>
      <c r="B16" s="37">
        <f>15*8</f>
        <v>120</v>
      </c>
      <c r="C16" s="23" t="s">
        <v>108</v>
      </c>
      <c r="D16" s="42">
        <f>2*60*D13*D15/D14</f>
        <v>446.25</v>
      </c>
      <c r="E16" s="3" t="s">
        <v>115</v>
      </c>
      <c r="F16" s="37">
        <f>3*8</f>
        <v>24</v>
      </c>
    </row>
    <row r="17" spans="1:6" x14ac:dyDescent="0.2">
      <c r="A17" s="23" t="s">
        <v>10</v>
      </c>
      <c r="B17" s="37">
        <v>9000</v>
      </c>
      <c r="C17" s="23" t="s">
        <v>109</v>
      </c>
      <c r="D17" s="42">
        <f>B28*D16</f>
        <v>7394.3625000000002</v>
      </c>
      <c r="E17" s="3"/>
      <c r="F17" s="43">
        <f>SUM(F12:F16)</f>
        <v>136.5</v>
      </c>
    </row>
    <row r="18" spans="1:6" x14ac:dyDescent="0.2">
      <c r="A18" s="38" t="s">
        <v>11</v>
      </c>
      <c r="B18" s="39">
        <f>B16*100*E4/B17</f>
        <v>1.4252607996317608</v>
      </c>
      <c r="C18" s="23" t="s">
        <v>33</v>
      </c>
      <c r="D18" s="148">
        <v>98.2</v>
      </c>
      <c r="E18" s="24" t="s">
        <v>11</v>
      </c>
      <c r="F18" s="44">
        <f>F17*100*E5/D17</f>
        <v>1.9673547400362723</v>
      </c>
    </row>
    <row r="19" spans="1:6" x14ac:dyDescent="0.2">
      <c r="A19" s="23" t="s">
        <v>13</v>
      </c>
      <c r="B19" s="149">
        <v>5.25</v>
      </c>
      <c r="C19" s="23" t="s">
        <v>110</v>
      </c>
      <c r="D19" s="3">
        <f>D18*0.5*0.9</f>
        <v>44.190000000000005</v>
      </c>
      <c r="E19" s="3"/>
      <c r="F19" s="37"/>
    </row>
    <row r="20" spans="1:6" x14ac:dyDescent="0.2">
      <c r="A20" s="23" t="s">
        <v>14</v>
      </c>
      <c r="B20" s="149">
        <v>500</v>
      </c>
      <c r="C20" s="23"/>
      <c r="D20" s="3"/>
      <c r="E20" s="3"/>
      <c r="F20" s="37"/>
    </row>
    <row r="21" spans="1:6" x14ac:dyDescent="0.2">
      <c r="A21" s="40" t="s">
        <v>15</v>
      </c>
      <c r="B21" s="41">
        <f>B19*0.5*E4/B20</f>
        <v>5.6119643985500581E-3</v>
      </c>
      <c r="C21" s="40" t="s">
        <v>15</v>
      </c>
      <c r="D21" s="45">
        <f>D19*B29*E5/D17</f>
        <v>0.14330341642121353</v>
      </c>
      <c r="E21" s="26"/>
      <c r="F21" s="46"/>
    </row>
    <row r="22" spans="1:6" x14ac:dyDescent="0.2">
      <c r="A22" s="35" t="s">
        <v>159</v>
      </c>
      <c r="B22" s="47" t="s">
        <v>146</v>
      </c>
      <c r="C22" s="35"/>
      <c r="D22" s="36"/>
    </row>
    <row r="23" spans="1:6" x14ac:dyDescent="0.2">
      <c r="A23" s="48" t="s">
        <v>16</v>
      </c>
      <c r="B23" s="37">
        <v>0.18</v>
      </c>
      <c r="C23" s="23"/>
      <c r="D23" s="37"/>
    </row>
    <row r="24" spans="1:6" x14ac:dyDescent="0.2">
      <c r="A24" s="48" t="s">
        <v>17</v>
      </c>
      <c r="B24" s="37">
        <v>80</v>
      </c>
      <c r="C24" s="23"/>
      <c r="D24" s="37"/>
    </row>
    <row r="25" spans="1:6" x14ac:dyDescent="0.2">
      <c r="A25" s="48" t="s">
        <v>18</v>
      </c>
      <c r="B25" s="37">
        <v>0.85</v>
      </c>
      <c r="C25" s="23"/>
      <c r="D25" s="37"/>
    </row>
    <row r="26" spans="1:6" x14ac:dyDescent="0.2">
      <c r="A26" s="48" t="s">
        <v>19</v>
      </c>
      <c r="B26" s="49">
        <f>B24*1.0936*60*B25*0.4536/(840*B23)</f>
        <v>13.385664</v>
      </c>
      <c r="C26" s="53"/>
      <c r="D26" s="37"/>
    </row>
    <row r="27" spans="1:6" x14ac:dyDescent="0.2">
      <c r="A27" s="48" t="s">
        <v>20</v>
      </c>
      <c r="B27" s="37">
        <v>4</v>
      </c>
      <c r="C27" s="23"/>
      <c r="D27" s="37"/>
    </row>
    <row r="28" spans="1:6" x14ac:dyDescent="0.2">
      <c r="A28" s="48" t="s">
        <v>21</v>
      </c>
      <c r="B28" s="121">
        <v>16.57</v>
      </c>
      <c r="C28" s="157"/>
      <c r="D28" s="37"/>
    </row>
    <row r="29" spans="1:6" x14ac:dyDescent="0.2">
      <c r="A29" s="48" t="s">
        <v>22</v>
      </c>
      <c r="B29" s="37">
        <v>22.5</v>
      </c>
      <c r="C29" s="23"/>
      <c r="D29" s="37"/>
    </row>
    <row r="30" spans="1:6" x14ac:dyDescent="0.2">
      <c r="A30" s="48" t="s">
        <v>23</v>
      </c>
      <c r="B30" s="50">
        <f>B29*B26*B27</f>
        <v>1204.70976</v>
      </c>
      <c r="C30" s="54"/>
      <c r="D30" s="37"/>
    </row>
    <row r="31" spans="1:6" x14ac:dyDescent="0.2">
      <c r="A31" s="48" t="s">
        <v>25</v>
      </c>
      <c r="B31" s="49">
        <v>22.5</v>
      </c>
      <c r="C31" s="23"/>
      <c r="D31" s="37"/>
    </row>
    <row r="32" spans="1:6" x14ac:dyDescent="0.2">
      <c r="A32" s="38" t="s">
        <v>102</v>
      </c>
      <c r="B32" s="76">
        <f>B31*100*E5/B30</f>
        <v>1.9904480698989777</v>
      </c>
      <c r="C32" s="23"/>
      <c r="D32" s="37"/>
    </row>
    <row r="33" spans="1:5" x14ac:dyDescent="0.2">
      <c r="A33" s="48" t="s">
        <v>26</v>
      </c>
      <c r="B33" s="49">
        <f>B28*0.55*B25</f>
        <v>7.7464750000000002</v>
      </c>
      <c r="C33" s="23"/>
      <c r="D33" s="37"/>
    </row>
    <row r="34" spans="1:5" x14ac:dyDescent="0.2">
      <c r="A34" s="38" t="s">
        <v>15</v>
      </c>
      <c r="B34" s="39">
        <f>B33*B27*E5/B30*B29</f>
        <v>0.61675824849082739</v>
      </c>
      <c r="C34" s="23"/>
      <c r="D34" s="37"/>
    </row>
    <row r="35" spans="1:5" x14ac:dyDescent="0.2">
      <c r="A35" s="35" t="s">
        <v>5</v>
      </c>
      <c r="B35" s="70" t="s">
        <v>27</v>
      </c>
      <c r="C35" s="62" t="s">
        <v>28</v>
      </c>
    </row>
    <row r="36" spans="1:5" x14ac:dyDescent="0.2">
      <c r="A36" s="23" t="s">
        <v>16</v>
      </c>
      <c r="B36" s="56">
        <v>0.19</v>
      </c>
      <c r="C36" s="63">
        <v>0.2</v>
      </c>
      <c r="E36" s="11"/>
    </row>
    <row r="37" spans="1:5" x14ac:dyDescent="0.2">
      <c r="A37" s="23" t="s">
        <v>17</v>
      </c>
      <c r="B37" s="56">
        <v>220</v>
      </c>
      <c r="C37" s="63">
        <v>400</v>
      </c>
    </row>
    <row r="38" spans="1:5" x14ac:dyDescent="0.2">
      <c r="A38" s="48" t="s">
        <v>18</v>
      </c>
      <c r="B38" s="56">
        <v>0.85</v>
      </c>
      <c r="C38" s="63">
        <v>0.85</v>
      </c>
    </row>
    <row r="39" spans="1:5" x14ac:dyDescent="0.2">
      <c r="A39" s="48" t="s">
        <v>29</v>
      </c>
      <c r="B39" s="57">
        <f>24*60*B37*1.0936*B38*2*0.4536/(840*B36)</f>
        <v>1673.9125086315787</v>
      </c>
      <c r="C39" s="64">
        <f>24*60*C37*1.0936*C38*0.4536/(840*C36)</f>
        <v>1445.6517119999999</v>
      </c>
    </row>
    <row r="40" spans="1:5" x14ac:dyDescent="0.2">
      <c r="A40" s="48" t="s">
        <v>30</v>
      </c>
      <c r="B40" s="56">
        <f>4*22.5/9</f>
        <v>10</v>
      </c>
      <c r="C40" s="63">
        <f>4*22.5/9</f>
        <v>10</v>
      </c>
    </row>
    <row r="41" spans="1:5" x14ac:dyDescent="0.2">
      <c r="A41" s="71" t="s">
        <v>31</v>
      </c>
      <c r="B41" s="72">
        <f>B40*100*E7/B39</f>
        <v>0.61765463371050799</v>
      </c>
      <c r="C41" s="65">
        <f>C40*100*E7/C39</f>
        <v>0.7151790495595356</v>
      </c>
    </row>
    <row r="42" spans="1:5" x14ac:dyDescent="0.2">
      <c r="A42" s="38" t="s">
        <v>32</v>
      </c>
      <c r="B42" s="324">
        <f>B41+C41</f>
        <v>1.3328336832700436</v>
      </c>
      <c r="C42" s="325"/>
    </row>
    <row r="43" spans="1:5" x14ac:dyDescent="0.2">
      <c r="A43" s="73" t="s">
        <v>33</v>
      </c>
      <c r="B43" s="75">
        <v>7.5</v>
      </c>
      <c r="C43" s="66">
        <v>12.33</v>
      </c>
    </row>
    <row r="44" spans="1:5" x14ac:dyDescent="0.2">
      <c r="A44" s="48" t="s">
        <v>34</v>
      </c>
      <c r="B44" s="59">
        <f>B43*0.5*B38*24</f>
        <v>76.5</v>
      </c>
      <c r="C44" s="67">
        <f>C43*0.5*C38*24</f>
        <v>125.76599999999999</v>
      </c>
    </row>
    <row r="45" spans="1:5" x14ac:dyDescent="0.2">
      <c r="A45" s="48" t="s">
        <v>35</v>
      </c>
      <c r="B45" s="60">
        <f>B44*E7/B39</f>
        <v>4.7250579478853867E-2</v>
      </c>
      <c r="C45" s="68">
        <f>C44*E7/C39</f>
        <v>8.9945208346904545E-2</v>
      </c>
    </row>
    <row r="46" spans="1:5" x14ac:dyDescent="0.2">
      <c r="A46" s="40" t="s">
        <v>36</v>
      </c>
      <c r="B46" s="61">
        <f>B45+C45</f>
        <v>0.13719578782575842</v>
      </c>
      <c r="C46" s="69"/>
    </row>
    <row r="47" spans="1:5" x14ac:dyDescent="0.2">
      <c r="A47" s="35" t="s">
        <v>6</v>
      </c>
      <c r="B47" s="36"/>
    </row>
    <row r="48" spans="1:5" x14ac:dyDescent="0.2">
      <c r="A48" s="48" t="s">
        <v>16</v>
      </c>
      <c r="B48" s="49">
        <v>2</v>
      </c>
    </row>
    <row r="49" spans="1:2" x14ac:dyDescent="0.2">
      <c r="A49" s="48" t="s">
        <v>37</v>
      </c>
      <c r="B49" s="37">
        <v>1.042</v>
      </c>
    </row>
    <row r="50" spans="1:2" x14ac:dyDescent="0.2">
      <c r="A50" s="48" t="s">
        <v>38</v>
      </c>
      <c r="B50" s="37">
        <v>630</v>
      </c>
    </row>
    <row r="51" spans="1:2" x14ac:dyDescent="0.2">
      <c r="A51" s="48" t="s">
        <v>39</v>
      </c>
      <c r="B51" s="37">
        <v>120</v>
      </c>
    </row>
    <row r="52" spans="1:2" x14ac:dyDescent="0.2">
      <c r="A52" s="48" t="s">
        <v>18</v>
      </c>
      <c r="B52" s="37">
        <v>0.85</v>
      </c>
    </row>
    <row r="53" spans="1:2" x14ac:dyDescent="0.2">
      <c r="A53" s="48" t="s">
        <v>29</v>
      </c>
      <c r="B53" s="50">
        <f>7.2*B50*B52*B51*3/(B48*B49*1000)</f>
        <v>666.03454894433776</v>
      </c>
    </row>
    <row r="54" spans="1:2" x14ac:dyDescent="0.2">
      <c r="A54" s="48" t="s">
        <v>30</v>
      </c>
      <c r="B54" s="37">
        <f>7*22.5</f>
        <v>157.5</v>
      </c>
    </row>
    <row r="55" spans="1:2" x14ac:dyDescent="0.2">
      <c r="A55" s="48" t="s">
        <v>40</v>
      </c>
      <c r="B55" s="37">
        <f>6*22.5</f>
        <v>135</v>
      </c>
    </row>
    <row r="56" spans="1:2" x14ac:dyDescent="0.2">
      <c r="A56" s="48" t="s">
        <v>41</v>
      </c>
      <c r="B56" s="37">
        <f>1*22.5</f>
        <v>22.5</v>
      </c>
    </row>
    <row r="57" spans="1:2" x14ac:dyDescent="0.2">
      <c r="A57" s="48" t="s">
        <v>24</v>
      </c>
      <c r="B57" s="50">
        <f>1*8</f>
        <v>8</v>
      </c>
    </row>
    <row r="58" spans="1:2" x14ac:dyDescent="0.2">
      <c r="A58" s="48" t="s">
        <v>116</v>
      </c>
      <c r="B58" s="37">
        <f>1*22.5</f>
        <v>22.5</v>
      </c>
    </row>
    <row r="59" spans="1:2" x14ac:dyDescent="0.2">
      <c r="A59" s="48" t="s">
        <v>42</v>
      </c>
      <c r="B59" s="37">
        <f>2*22.5</f>
        <v>45</v>
      </c>
    </row>
    <row r="60" spans="1:2" x14ac:dyDescent="0.2">
      <c r="A60" s="48" t="s">
        <v>43</v>
      </c>
      <c r="B60" s="51">
        <f>SUM(B54:B59)</f>
        <v>390.5</v>
      </c>
    </row>
    <row r="61" spans="1:2" x14ac:dyDescent="0.2">
      <c r="A61" s="48" t="s">
        <v>117</v>
      </c>
      <c r="B61" s="50">
        <v>7</v>
      </c>
    </row>
    <row r="62" spans="1:2" x14ac:dyDescent="0.2">
      <c r="A62" s="38" t="s">
        <v>11</v>
      </c>
      <c r="B62" s="76">
        <f>B60/B61*100*E8/B53</f>
        <v>8.6424174577954602</v>
      </c>
    </row>
    <row r="63" spans="1:2" x14ac:dyDescent="0.2">
      <c r="A63" s="48" t="s">
        <v>33</v>
      </c>
      <c r="B63" s="37">
        <v>12.62</v>
      </c>
    </row>
    <row r="64" spans="1:2" x14ac:dyDescent="0.2">
      <c r="A64" s="48" t="s">
        <v>34</v>
      </c>
      <c r="B64" s="50">
        <f>B63*0.5*24*B52</f>
        <v>128.72399999999999</v>
      </c>
    </row>
    <row r="65" spans="1:3" x14ac:dyDescent="0.2">
      <c r="A65" s="40" t="s">
        <v>15</v>
      </c>
      <c r="B65" s="41">
        <f>B64*E8/B53</f>
        <v>0.1994214036840164</v>
      </c>
    </row>
    <row r="66" spans="1:3" x14ac:dyDescent="0.2">
      <c r="A66" s="6" t="s">
        <v>44</v>
      </c>
      <c r="B66" s="7">
        <f>B15+B18+B32+B42+B62+F18</f>
        <v>15.833401683843102</v>
      </c>
    </row>
    <row r="67" spans="1:3" x14ac:dyDescent="0.2">
      <c r="A67" s="6" t="s">
        <v>45</v>
      </c>
      <c r="B67" s="7">
        <f>B21+B34+B46+B65+D21</f>
        <v>1.1022908208203659</v>
      </c>
    </row>
    <row r="69" spans="1:3" x14ac:dyDescent="0.2">
      <c r="A69" s="78" t="s">
        <v>46</v>
      </c>
      <c r="B69" s="92" t="s">
        <v>216</v>
      </c>
    </row>
    <row r="70" spans="1:3" x14ac:dyDescent="0.2">
      <c r="A70" s="79" t="s">
        <v>47</v>
      </c>
      <c r="B70" s="82">
        <v>80</v>
      </c>
    </row>
    <row r="71" spans="1:3" x14ac:dyDescent="0.2">
      <c r="A71" s="79" t="s">
        <v>48</v>
      </c>
      <c r="B71" s="82">
        <v>31.69</v>
      </c>
      <c r="C71" s="158" t="s">
        <v>208</v>
      </c>
    </row>
    <row r="72" spans="1:3" x14ac:dyDescent="0.2">
      <c r="A72" s="79" t="s">
        <v>38</v>
      </c>
      <c r="B72" s="82">
        <v>14775</v>
      </c>
    </row>
    <row r="73" spans="1:3" x14ac:dyDescent="0.2">
      <c r="A73" s="79" t="s">
        <v>18</v>
      </c>
      <c r="B73" s="82">
        <v>0.98</v>
      </c>
    </row>
    <row r="74" spans="1:3" x14ac:dyDescent="0.2">
      <c r="A74" s="79" t="s">
        <v>49</v>
      </c>
      <c r="B74" s="82">
        <v>0.97499999999999998</v>
      </c>
    </row>
    <row r="75" spans="1:3" x14ac:dyDescent="0.2">
      <c r="A75" s="80" t="s">
        <v>50</v>
      </c>
      <c r="B75" s="83">
        <f>7.2*B72*B73/(B70*B71)</f>
        <v>41.121962764278948</v>
      </c>
    </row>
    <row r="76" spans="1:3" x14ac:dyDescent="0.2">
      <c r="A76" s="79" t="s">
        <v>51</v>
      </c>
      <c r="B76" s="84">
        <v>0.95</v>
      </c>
    </row>
    <row r="77" spans="1:3" x14ac:dyDescent="0.2">
      <c r="A77" s="79" t="s">
        <v>52</v>
      </c>
      <c r="B77" s="85">
        <f>B76*(7.5+80/B70+500/B71/B71)*(B72/10000)*(B72/10000)</f>
        <v>18.66030887208208</v>
      </c>
    </row>
    <row r="78" spans="1:3" x14ac:dyDescent="0.2">
      <c r="A78" s="80" t="s">
        <v>101</v>
      </c>
      <c r="B78" s="86">
        <f>B77*8*$E$9/B75</f>
        <v>3.6521499051981539</v>
      </c>
    </row>
    <row r="79" spans="1:3" x14ac:dyDescent="0.2">
      <c r="A79" s="79" t="s">
        <v>118</v>
      </c>
      <c r="B79" s="82">
        <v>9.6</v>
      </c>
    </row>
    <row r="80" spans="1:3" x14ac:dyDescent="0.2">
      <c r="A80" s="79" t="s">
        <v>53</v>
      </c>
      <c r="B80" s="85">
        <f>B79*0.55*24*0.98/(1.008*B75*3)*$E$9</f>
        <v>1.0046834152210913</v>
      </c>
    </row>
    <row r="81" spans="1:2" x14ac:dyDescent="0.2">
      <c r="A81" s="79" t="s">
        <v>54</v>
      </c>
      <c r="B81" s="82"/>
    </row>
    <row r="82" spans="1:2" x14ac:dyDescent="0.2">
      <c r="A82" s="79" t="s">
        <v>55</v>
      </c>
      <c r="B82" s="82">
        <v>900</v>
      </c>
    </row>
    <row r="83" spans="1:2" x14ac:dyDescent="0.2">
      <c r="A83" s="79" t="s">
        <v>56</v>
      </c>
      <c r="B83" s="82">
        <v>1440</v>
      </c>
    </row>
    <row r="84" spans="1:2" x14ac:dyDescent="0.2">
      <c r="A84" s="79" t="s">
        <v>57</v>
      </c>
      <c r="B84" s="82">
        <v>2460</v>
      </c>
    </row>
    <row r="85" spans="1:2" x14ac:dyDescent="0.2">
      <c r="A85" s="79" t="s">
        <v>58</v>
      </c>
      <c r="B85" s="82">
        <v>50</v>
      </c>
    </row>
    <row r="86" spans="1:2" x14ac:dyDescent="0.2">
      <c r="A86" s="79" t="s">
        <v>119</v>
      </c>
      <c r="B86" s="82">
        <v>50</v>
      </c>
    </row>
    <row r="87" spans="1:2" x14ac:dyDescent="0.2">
      <c r="A87" s="79" t="s">
        <v>59</v>
      </c>
      <c r="B87" s="82">
        <f>SUM(B82:B86)</f>
        <v>4900</v>
      </c>
    </row>
    <row r="88" spans="1:2" x14ac:dyDescent="0.2">
      <c r="A88" s="79" t="s">
        <v>60</v>
      </c>
      <c r="B88" s="82">
        <v>18144</v>
      </c>
    </row>
    <row r="89" spans="1:2" x14ac:dyDescent="0.2">
      <c r="A89" s="79" t="s">
        <v>61</v>
      </c>
      <c r="B89" s="150">
        <v>0.94899999999999995</v>
      </c>
    </row>
    <row r="90" spans="1:2" x14ac:dyDescent="0.2">
      <c r="A90" s="79" t="s">
        <v>62</v>
      </c>
      <c r="B90" s="88">
        <f>B87*1000/(B88*3*B89)</f>
        <v>94.85835208818466</v>
      </c>
    </row>
    <row r="91" spans="1:2" x14ac:dyDescent="0.2">
      <c r="A91" s="79" t="s">
        <v>63</v>
      </c>
      <c r="B91" s="85">
        <f>B90*$E$9/B75</f>
        <v>2.3206805147289478</v>
      </c>
    </row>
    <row r="92" spans="1:2" x14ac:dyDescent="0.2">
      <c r="A92" s="80" t="s">
        <v>64</v>
      </c>
      <c r="B92" s="86">
        <f>(B91+B80)</f>
        <v>3.325363929950039</v>
      </c>
    </row>
    <row r="93" spans="1:2" x14ac:dyDescent="0.2">
      <c r="A93" s="79" t="s">
        <v>65</v>
      </c>
      <c r="B93" s="135">
        <f>3*504</f>
        <v>1512</v>
      </c>
    </row>
    <row r="94" spans="1:2" x14ac:dyDescent="0.2">
      <c r="A94" s="80" t="s">
        <v>66</v>
      </c>
      <c r="B94" s="89">
        <f>7.5*100*$E$9/(B93*B75/1000)*7/6</f>
        <v>14.157808768785673</v>
      </c>
    </row>
    <row r="95" spans="1:2" x14ac:dyDescent="0.2">
      <c r="A95" s="79" t="s">
        <v>67</v>
      </c>
      <c r="B95" s="84">
        <v>8400</v>
      </c>
    </row>
    <row r="96" spans="1:2" x14ac:dyDescent="0.2">
      <c r="A96" s="79" t="s">
        <v>68</v>
      </c>
      <c r="B96" s="135">
        <f>12*22.5</f>
        <v>270</v>
      </c>
    </row>
    <row r="97" spans="1:2" x14ac:dyDescent="0.2">
      <c r="A97" s="80" t="s">
        <v>69</v>
      </c>
      <c r="B97" s="89">
        <f>B96*100*$E$9/B95</f>
        <v>3.2336878413337167</v>
      </c>
    </row>
    <row r="98" spans="1:2" x14ac:dyDescent="0.2">
      <c r="A98" s="79" t="s">
        <v>70</v>
      </c>
      <c r="B98" s="82"/>
    </row>
    <row r="99" spans="1:2" x14ac:dyDescent="0.2">
      <c r="A99" s="79" t="s">
        <v>41</v>
      </c>
      <c r="B99" s="82">
        <f>1*22.5</f>
        <v>22.5</v>
      </c>
    </row>
    <row r="100" spans="1:2" x14ac:dyDescent="0.2">
      <c r="A100" s="79" t="s">
        <v>71</v>
      </c>
      <c r="B100" s="82">
        <f>1*22.5</f>
        <v>22.5</v>
      </c>
    </row>
    <row r="101" spans="1:2" x14ac:dyDescent="0.2">
      <c r="A101" s="79" t="s">
        <v>72</v>
      </c>
      <c r="B101" s="82">
        <f>3*22.5</f>
        <v>67.5</v>
      </c>
    </row>
    <row r="102" spans="1:2" x14ac:dyDescent="0.2">
      <c r="A102" s="79" t="s">
        <v>120</v>
      </c>
      <c r="B102" s="82">
        <f>12*8</f>
        <v>96</v>
      </c>
    </row>
    <row r="103" spans="1:2" x14ac:dyDescent="0.2">
      <c r="A103" s="79" t="s">
        <v>73</v>
      </c>
      <c r="B103" s="82">
        <f>26*8</f>
        <v>208</v>
      </c>
    </row>
    <row r="104" spans="1:2" x14ac:dyDescent="0.2">
      <c r="A104" s="79" t="s">
        <v>74</v>
      </c>
      <c r="B104" s="82">
        <f>3*8</f>
        <v>24</v>
      </c>
    </row>
    <row r="105" spans="1:2" x14ac:dyDescent="0.2">
      <c r="A105" s="79" t="s">
        <v>42</v>
      </c>
      <c r="B105" s="82">
        <f>5*22.5</f>
        <v>112.5</v>
      </c>
    </row>
    <row r="106" spans="1:2" x14ac:dyDescent="0.2">
      <c r="A106" s="79" t="s">
        <v>75</v>
      </c>
      <c r="B106" s="82">
        <f>3*7</f>
        <v>21</v>
      </c>
    </row>
    <row r="107" spans="1:2" x14ac:dyDescent="0.2">
      <c r="A107" s="79" t="s">
        <v>76</v>
      </c>
      <c r="B107" s="90">
        <f>58*0.8</f>
        <v>46.400000000000006</v>
      </c>
    </row>
    <row r="108" spans="1:2" x14ac:dyDescent="0.2">
      <c r="A108" s="79" t="s">
        <v>122</v>
      </c>
      <c r="B108" s="90">
        <f>9*8*0.8</f>
        <v>57.6</v>
      </c>
    </row>
    <row r="109" spans="1:2" x14ac:dyDescent="0.2">
      <c r="A109" s="79" t="s">
        <v>121</v>
      </c>
      <c r="B109" s="90">
        <f>1*8*0.8</f>
        <v>6.4</v>
      </c>
    </row>
    <row r="110" spans="1:2" x14ac:dyDescent="0.2">
      <c r="A110" s="79" t="s">
        <v>77</v>
      </c>
      <c r="B110" s="90">
        <f>1*8*0.8</f>
        <v>6.4</v>
      </c>
    </row>
    <row r="111" spans="1:2" x14ac:dyDescent="0.2">
      <c r="A111" s="79" t="s">
        <v>78</v>
      </c>
      <c r="B111" s="90">
        <f>2*8*0.8</f>
        <v>12.8</v>
      </c>
    </row>
    <row r="112" spans="1:2" x14ac:dyDescent="0.2">
      <c r="A112" s="79" t="s">
        <v>79</v>
      </c>
      <c r="B112" s="90">
        <f>4*8*0.8</f>
        <v>25.6</v>
      </c>
    </row>
    <row r="113" spans="1:2" x14ac:dyDescent="0.2">
      <c r="A113" s="79" t="s">
        <v>80</v>
      </c>
      <c r="B113" s="90">
        <f>SUM(B99:B112)</f>
        <v>729.19999999999993</v>
      </c>
    </row>
    <row r="114" spans="1:2" x14ac:dyDescent="0.2">
      <c r="A114" s="79" t="s">
        <v>81</v>
      </c>
      <c r="B114" s="88">
        <f>B113*1000/(B88*3*B89)</f>
        <v>14.11647149851107</v>
      </c>
    </row>
    <row r="115" spans="1:2" x14ac:dyDescent="0.2">
      <c r="A115" s="81" t="s">
        <v>82</v>
      </c>
      <c r="B115" s="91">
        <f>B114*100*$E$9/B75</f>
        <v>34.535514925313223</v>
      </c>
    </row>
    <row r="117" spans="1:2" x14ac:dyDescent="0.2">
      <c r="A117" s="6" t="s">
        <v>8</v>
      </c>
    </row>
    <row r="118" spans="1:2" x14ac:dyDescent="0.2">
      <c r="A118" t="s">
        <v>47</v>
      </c>
      <c r="B118">
        <v>80</v>
      </c>
    </row>
    <row r="119" spans="1:2" x14ac:dyDescent="0.2">
      <c r="A119" s="8" t="s">
        <v>17</v>
      </c>
      <c r="B119">
        <v>1450</v>
      </c>
    </row>
    <row r="120" spans="1:2" x14ac:dyDescent="0.2">
      <c r="A120" t="s">
        <v>83</v>
      </c>
      <c r="B120">
        <v>60</v>
      </c>
    </row>
    <row r="121" spans="1:2" x14ac:dyDescent="0.2">
      <c r="A121" s="8" t="s">
        <v>84</v>
      </c>
      <c r="B121">
        <v>0.7</v>
      </c>
    </row>
    <row r="122" spans="1:2" x14ac:dyDescent="0.2">
      <c r="A122" t="s">
        <v>85</v>
      </c>
      <c r="B122" s="11">
        <f>B119*1.0936*23.5*60*B121*B120/(840*B118)*0.4536</f>
        <v>633.86778419999985</v>
      </c>
    </row>
    <row r="123" spans="1:2" x14ac:dyDescent="0.2">
      <c r="A123" t="s">
        <v>86</v>
      </c>
      <c r="B123" s="146">
        <v>12.77</v>
      </c>
    </row>
    <row r="124" spans="1:2" x14ac:dyDescent="0.2">
      <c r="A124" t="s">
        <v>87</v>
      </c>
      <c r="B124" s="9">
        <f>690/5/24</f>
        <v>5.75</v>
      </c>
    </row>
    <row r="125" spans="1:2" x14ac:dyDescent="0.2">
      <c r="A125" t="s">
        <v>88</v>
      </c>
      <c r="B125" s="9">
        <f>SUM(B123:B124)</f>
        <v>18.52</v>
      </c>
    </row>
    <row r="126" spans="1:2" x14ac:dyDescent="0.2">
      <c r="A126" s="6" t="s">
        <v>35</v>
      </c>
      <c r="B126" s="7">
        <f>B125*23.5/B122</f>
        <v>0.68661006419388881</v>
      </c>
    </row>
    <row r="127" spans="1:2" x14ac:dyDescent="0.2">
      <c r="A127" t="s">
        <v>89</v>
      </c>
      <c r="B127">
        <f>2*22.5</f>
        <v>45</v>
      </c>
    </row>
    <row r="128" spans="1:2" x14ac:dyDescent="0.2">
      <c r="A128" t="s">
        <v>123</v>
      </c>
      <c r="B128" s="9">
        <f>1.5*22.5</f>
        <v>33.75</v>
      </c>
    </row>
    <row r="129" spans="1:2" x14ac:dyDescent="0.2">
      <c r="A129" t="s">
        <v>124</v>
      </c>
      <c r="B129" s="9">
        <f>1.5*22.5</f>
        <v>33.75</v>
      </c>
    </row>
    <row r="130" spans="1:2" x14ac:dyDescent="0.2">
      <c r="A130" t="s">
        <v>90</v>
      </c>
      <c r="B130" s="9">
        <f>2*22.5</f>
        <v>45</v>
      </c>
    </row>
    <row r="131" spans="1:2" x14ac:dyDescent="0.2">
      <c r="A131" t="s">
        <v>41</v>
      </c>
      <c r="B131" s="9">
        <f>1*22.5</f>
        <v>22.5</v>
      </c>
    </row>
    <row r="132" spans="1:2" x14ac:dyDescent="0.2">
      <c r="A132" t="s">
        <v>42</v>
      </c>
      <c r="B132" s="9">
        <f>2*22.5</f>
        <v>45</v>
      </c>
    </row>
    <row r="133" spans="1:2" x14ac:dyDescent="0.2">
      <c r="A133" t="s">
        <v>91</v>
      </c>
      <c r="B133" s="9">
        <f>1*22.5</f>
        <v>22.5</v>
      </c>
    </row>
    <row r="134" spans="1:2" x14ac:dyDescent="0.2">
      <c r="A134" t="s">
        <v>125</v>
      </c>
      <c r="B134" s="9">
        <f>3*8</f>
        <v>24</v>
      </c>
    </row>
    <row r="135" spans="1:2" x14ac:dyDescent="0.2">
      <c r="A135" t="s">
        <v>126</v>
      </c>
      <c r="B135" s="9">
        <f>SUM(B127:B134)</f>
        <v>271.5</v>
      </c>
    </row>
    <row r="136" spans="1:2" x14ac:dyDescent="0.2">
      <c r="A136" s="6" t="s">
        <v>31</v>
      </c>
      <c r="B136" s="12">
        <f>B135/5*100/B122</f>
        <v>8.5664552377483041</v>
      </c>
    </row>
    <row r="137" spans="1:2" x14ac:dyDescent="0.2">
      <c r="A137" s="6" t="s">
        <v>92</v>
      </c>
    </row>
    <row r="138" spans="1:2" x14ac:dyDescent="0.2">
      <c r="A138" t="s">
        <v>93</v>
      </c>
      <c r="B138">
        <v>952.56</v>
      </c>
    </row>
    <row r="139" spans="1:2" x14ac:dyDescent="0.2">
      <c r="A139" t="s">
        <v>140</v>
      </c>
      <c r="B139">
        <v>2</v>
      </c>
    </row>
    <row r="140" spans="1:2" x14ac:dyDescent="0.2">
      <c r="A140" t="s">
        <v>102</v>
      </c>
      <c r="B140" s="17">
        <f>B139*100/B138</f>
        <v>0.20996052742084489</v>
      </c>
    </row>
    <row r="141" spans="1:2" x14ac:dyDescent="0.2">
      <c r="A141" t="s">
        <v>127</v>
      </c>
      <c r="B141">
        <v>0</v>
      </c>
    </row>
    <row r="142" spans="1:2" x14ac:dyDescent="0.2">
      <c r="A142" t="s">
        <v>128</v>
      </c>
      <c r="B142">
        <v>0</v>
      </c>
    </row>
    <row r="143" spans="1:2" x14ac:dyDescent="0.2">
      <c r="A143" t="s">
        <v>102</v>
      </c>
      <c r="B143" s="17"/>
    </row>
    <row r="144" spans="1:2" x14ac:dyDescent="0.2">
      <c r="A144" t="s">
        <v>129</v>
      </c>
      <c r="B144" s="11">
        <v>6000</v>
      </c>
    </row>
    <row r="145" spans="1:2" x14ac:dyDescent="0.2">
      <c r="A145" t="s">
        <v>130</v>
      </c>
      <c r="B145" s="9">
        <f>15*8</f>
        <v>120</v>
      </c>
    </row>
    <row r="146" spans="1:2" x14ac:dyDescent="0.2">
      <c r="A146" t="s">
        <v>102</v>
      </c>
      <c r="B146" s="14">
        <f>B145*100/B144</f>
        <v>2</v>
      </c>
    </row>
    <row r="147" spans="1:2" x14ac:dyDescent="0.2">
      <c r="A147" t="s">
        <v>131</v>
      </c>
      <c r="B147" s="11">
        <v>12000</v>
      </c>
    </row>
    <row r="148" spans="1:2" x14ac:dyDescent="0.2">
      <c r="A148" t="s">
        <v>130</v>
      </c>
      <c r="B148" s="11">
        <f>2*8</f>
        <v>16</v>
      </c>
    </row>
    <row r="149" spans="1:2" x14ac:dyDescent="0.2">
      <c r="A149" t="s">
        <v>31</v>
      </c>
      <c r="B149" s="17">
        <f>B148*100/B147</f>
        <v>0.13333333333333333</v>
      </c>
    </row>
    <row r="150" spans="1:2" x14ac:dyDescent="0.2">
      <c r="A150" t="s">
        <v>132</v>
      </c>
      <c r="B150" s="11">
        <v>12000</v>
      </c>
    </row>
    <row r="151" spans="1:2" x14ac:dyDescent="0.2">
      <c r="A151" t="s">
        <v>130</v>
      </c>
      <c r="B151" s="11">
        <f>4*8</f>
        <v>32</v>
      </c>
    </row>
    <row r="152" spans="1:2" x14ac:dyDescent="0.2">
      <c r="A152" t="s">
        <v>31</v>
      </c>
      <c r="B152" s="17">
        <f>B151*100/B150</f>
        <v>0.26666666666666666</v>
      </c>
    </row>
    <row r="153" spans="1:2" x14ac:dyDescent="0.2">
      <c r="A153" s="6" t="s">
        <v>31</v>
      </c>
      <c r="B153" s="12">
        <f>B140+B143+B146+B149+B152</f>
        <v>2.6099605274208448</v>
      </c>
    </row>
    <row r="154" spans="1:2" x14ac:dyDescent="0.2">
      <c r="A154" t="s">
        <v>134</v>
      </c>
      <c r="B154" s="147">
        <v>1.5</v>
      </c>
    </row>
    <row r="155" spans="1:2" x14ac:dyDescent="0.2">
      <c r="A155" t="s">
        <v>136</v>
      </c>
      <c r="B155">
        <v>30</v>
      </c>
    </row>
    <row r="156" spans="1:2" x14ac:dyDescent="0.2">
      <c r="A156" t="s">
        <v>138</v>
      </c>
      <c r="B156">
        <v>0</v>
      </c>
    </row>
    <row r="157" spans="1:2" x14ac:dyDescent="0.2">
      <c r="A157" t="s">
        <v>133</v>
      </c>
      <c r="B157" s="147">
        <v>0.5</v>
      </c>
    </row>
    <row r="158" spans="1:2" x14ac:dyDescent="0.2">
      <c r="A158" t="s">
        <v>137</v>
      </c>
      <c r="B158" s="9">
        <v>0.75</v>
      </c>
    </row>
    <row r="159" spans="1:2" x14ac:dyDescent="0.2">
      <c r="A159" t="s">
        <v>139</v>
      </c>
      <c r="B159" s="11">
        <v>0</v>
      </c>
    </row>
    <row r="160" spans="1:2" x14ac:dyDescent="0.2">
      <c r="A160" t="s">
        <v>135</v>
      </c>
    </row>
    <row r="161" spans="1:2" x14ac:dyDescent="0.2">
      <c r="A161" s="6" t="s">
        <v>15</v>
      </c>
      <c r="B161" s="7">
        <f>B154*0.5*B158/60*1.1</f>
        <v>1.03125E-2</v>
      </c>
    </row>
    <row r="163" spans="1:2" x14ac:dyDescent="0.2">
      <c r="B163" s="9"/>
    </row>
    <row r="164" spans="1:2" x14ac:dyDescent="0.2">
      <c r="A164" s="6" t="s">
        <v>94</v>
      </c>
      <c r="B164" s="18" t="str">
        <f>B69</f>
        <v>80s Micro Modal</v>
      </c>
    </row>
    <row r="165" spans="1:2" x14ac:dyDescent="0.2">
      <c r="A165" s="6" t="s">
        <v>95</v>
      </c>
      <c r="B165" s="19">
        <f>B75</f>
        <v>41.121962764278948</v>
      </c>
    </row>
    <row r="166" spans="1:2" x14ac:dyDescent="0.2">
      <c r="A166" s="6" t="s">
        <v>96</v>
      </c>
      <c r="B166" s="20">
        <f>B78</f>
        <v>3.6521499051981539</v>
      </c>
    </row>
    <row r="167" spans="1:2" x14ac:dyDescent="0.2">
      <c r="A167" s="6" t="s">
        <v>64</v>
      </c>
      <c r="B167" s="20">
        <f>B92</f>
        <v>3.325363929950039</v>
      </c>
    </row>
    <row r="168" spans="1:2" x14ac:dyDescent="0.2">
      <c r="A168" s="6" t="s">
        <v>97</v>
      </c>
      <c r="B168" s="20">
        <f>B161+B126+B67</f>
        <v>1.7992133850142547</v>
      </c>
    </row>
    <row r="169" spans="1:2" x14ac:dyDescent="0.2">
      <c r="A169" s="6" t="s">
        <v>98</v>
      </c>
      <c r="B169" s="20">
        <f>SUM(B66+B94+B115)</f>
        <v>64.526725377942</v>
      </c>
    </row>
    <row r="170" spans="1:2" x14ac:dyDescent="0.2">
      <c r="A170" s="6" t="s">
        <v>99</v>
      </c>
      <c r="B170" s="20">
        <f>B136</f>
        <v>8.5664552377483041</v>
      </c>
    </row>
    <row r="171" spans="1:2" x14ac:dyDescent="0.2">
      <c r="A171" s="6" t="s">
        <v>100</v>
      </c>
      <c r="B171" s="20">
        <f>B153</f>
        <v>2.6099605274208448</v>
      </c>
    </row>
    <row r="172" spans="1:2" x14ac:dyDescent="0.2">
      <c r="A172" s="6" t="s">
        <v>141</v>
      </c>
      <c r="B172" s="18"/>
    </row>
    <row r="173" spans="1:2" x14ac:dyDescent="0.2">
      <c r="B173" s="107"/>
    </row>
    <row r="174" spans="1:2" x14ac:dyDescent="0.2">
      <c r="A174" s="35" t="s">
        <v>184</v>
      </c>
      <c r="B174" s="78" t="s">
        <v>218</v>
      </c>
    </row>
    <row r="175" spans="1:2" x14ac:dyDescent="0.2">
      <c r="A175" s="48" t="s">
        <v>185</v>
      </c>
      <c r="B175" s="129">
        <v>80</v>
      </c>
    </row>
    <row r="176" spans="1:2" x14ac:dyDescent="0.2">
      <c r="A176" s="48" t="s">
        <v>149</v>
      </c>
      <c r="B176" s="82">
        <v>400</v>
      </c>
    </row>
    <row r="177" spans="1:2" x14ac:dyDescent="0.2">
      <c r="A177" s="48" t="s">
        <v>150</v>
      </c>
      <c r="B177" s="82">
        <v>0.8</v>
      </c>
    </row>
    <row r="178" spans="1:2" x14ac:dyDescent="0.2">
      <c r="A178" s="48" t="s">
        <v>186</v>
      </c>
      <c r="B178" s="82">
        <v>60</v>
      </c>
    </row>
    <row r="179" spans="1:2" x14ac:dyDescent="0.2">
      <c r="A179" s="48" t="s">
        <v>187</v>
      </c>
      <c r="B179" s="88">
        <f>B176*1.0936*8*60*B178*B177*0.4536/(840*B175)</f>
        <v>68.030668800000001</v>
      </c>
    </row>
    <row r="180" spans="1:2" x14ac:dyDescent="0.2">
      <c r="A180" s="48" t="s">
        <v>33</v>
      </c>
      <c r="B180" s="82">
        <v>3</v>
      </c>
    </row>
    <row r="181" spans="1:2" x14ac:dyDescent="0.2">
      <c r="A181" s="48" t="s">
        <v>188</v>
      </c>
      <c r="B181" s="82">
        <f>B180*8*0.5</f>
        <v>12</v>
      </c>
    </row>
    <row r="182" spans="1:2" x14ac:dyDescent="0.2">
      <c r="A182" s="38" t="s">
        <v>15</v>
      </c>
      <c r="B182" s="86">
        <f>B181/B179</f>
        <v>0.17639103380385995</v>
      </c>
    </row>
    <row r="183" spans="1:2" x14ac:dyDescent="0.2">
      <c r="A183" s="40" t="s">
        <v>11</v>
      </c>
      <c r="B183" s="91">
        <f>8*100/B179</f>
        <v>11.759402253590663</v>
      </c>
    </row>
    <row r="184" spans="1:2" x14ac:dyDescent="0.2">
      <c r="A184" s="8"/>
    </row>
    <row r="185" spans="1:2" x14ac:dyDescent="0.2">
      <c r="A185" s="35" t="s">
        <v>189</v>
      </c>
      <c r="B185" s="62"/>
    </row>
    <row r="186" spans="1:2" x14ac:dyDescent="0.2">
      <c r="A186" s="48" t="s">
        <v>190</v>
      </c>
      <c r="B186" s="82">
        <v>480</v>
      </c>
    </row>
    <row r="187" spans="1:2" x14ac:dyDescent="0.2">
      <c r="A187" s="48" t="s">
        <v>191</v>
      </c>
      <c r="B187" s="82">
        <v>8700</v>
      </c>
    </row>
    <row r="188" spans="1:2" x14ac:dyDescent="0.2">
      <c r="A188" s="48" t="s">
        <v>182</v>
      </c>
      <c r="B188" s="82">
        <v>22.1</v>
      </c>
    </row>
    <row r="189" spans="1:2" x14ac:dyDescent="0.2">
      <c r="A189" s="48" t="s">
        <v>150</v>
      </c>
      <c r="B189" s="82">
        <v>0.88</v>
      </c>
    </row>
    <row r="190" spans="1:2" x14ac:dyDescent="0.2">
      <c r="A190" s="48" t="s">
        <v>192</v>
      </c>
      <c r="B190" s="88">
        <f>7.2*B187*B189*B186*3/(B175*B188*1000)</f>
        <v>44.89672398190045</v>
      </c>
    </row>
    <row r="191" spans="1:2" x14ac:dyDescent="0.2">
      <c r="A191" s="48" t="s">
        <v>193</v>
      </c>
      <c r="B191" s="140">
        <v>125</v>
      </c>
    </row>
    <row r="192" spans="1:2" x14ac:dyDescent="0.2">
      <c r="A192" s="38" t="s">
        <v>15</v>
      </c>
      <c r="B192" s="86">
        <f>B191/B190</f>
        <v>2.7841675051924097</v>
      </c>
    </row>
    <row r="193" spans="1:2" x14ac:dyDescent="0.2">
      <c r="A193" s="38" t="s">
        <v>11</v>
      </c>
      <c r="B193" s="86">
        <f>24/B190*100</f>
        <v>53.45601609969426</v>
      </c>
    </row>
    <row r="194" spans="1:2" x14ac:dyDescent="0.2">
      <c r="A194" s="40" t="s">
        <v>95</v>
      </c>
      <c r="B194" s="94">
        <f>7.2*B187*B189/(B188*B175)</f>
        <v>31.178280542986425</v>
      </c>
    </row>
    <row r="195" spans="1:2" x14ac:dyDescent="0.2">
      <c r="A195" s="35" t="s">
        <v>194</v>
      </c>
      <c r="B195" s="82"/>
    </row>
    <row r="196" spans="1:2" x14ac:dyDescent="0.2">
      <c r="A196" s="48" t="s">
        <v>195</v>
      </c>
      <c r="B196" s="82">
        <v>60</v>
      </c>
    </row>
    <row r="197" spans="1:2" x14ac:dyDescent="0.2">
      <c r="A197" s="48" t="s">
        <v>149</v>
      </c>
      <c r="B197" s="82">
        <v>450</v>
      </c>
    </row>
    <row r="198" spans="1:2" x14ac:dyDescent="0.2">
      <c r="A198" s="48" t="s">
        <v>150</v>
      </c>
      <c r="B198" s="82">
        <v>0.65</v>
      </c>
    </row>
    <row r="199" spans="1:2" x14ac:dyDescent="0.2">
      <c r="A199" s="48" t="s">
        <v>196</v>
      </c>
      <c r="B199" s="88">
        <f>B197*1.0936*480*B198*0.4536/(840*B175)*B196</f>
        <v>62.184283199999996</v>
      </c>
    </row>
    <row r="200" spans="1:2" x14ac:dyDescent="0.2">
      <c r="A200" s="48" t="s">
        <v>197</v>
      </c>
      <c r="B200" s="82">
        <v>22.5</v>
      </c>
    </row>
    <row r="201" spans="1:2" x14ac:dyDescent="0.2">
      <c r="A201" s="48" t="s">
        <v>33</v>
      </c>
      <c r="B201" s="82">
        <v>5.875</v>
      </c>
    </row>
    <row r="202" spans="1:2" x14ac:dyDescent="0.2">
      <c r="A202" s="48" t="s">
        <v>188</v>
      </c>
      <c r="B202" s="82">
        <f>B201*8*0.5</f>
        <v>23.5</v>
      </c>
    </row>
    <row r="203" spans="1:2" x14ac:dyDescent="0.2">
      <c r="A203" s="38" t="s">
        <v>15</v>
      </c>
      <c r="B203" s="86">
        <f>B202/B199</f>
        <v>0.37790899550000767</v>
      </c>
    </row>
    <row r="204" spans="1:2" x14ac:dyDescent="0.2">
      <c r="A204" s="40" t="s">
        <v>11</v>
      </c>
      <c r="B204" s="91">
        <f>B200*100/B199</f>
        <v>36.182776164894349</v>
      </c>
    </row>
    <row r="205" spans="1:2" x14ac:dyDescent="0.2">
      <c r="A205" s="6"/>
    </row>
    <row r="206" spans="1:2" x14ac:dyDescent="0.2">
      <c r="A206" s="35" t="s">
        <v>198</v>
      </c>
      <c r="B206" s="131">
        <f>B194</f>
        <v>31.178280542986425</v>
      </c>
    </row>
    <row r="207" spans="1:2" x14ac:dyDescent="0.2">
      <c r="A207" s="38" t="s">
        <v>199</v>
      </c>
      <c r="B207" s="86">
        <f>(B183+B193+B204)</f>
        <v>101.39819451817927</v>
      </c>
    </row>
    <row r="208" spans="1:2" x14ac:dyDescent="0.2">
      <c r="A208" s="40" t="s">
        <v>200</v>
      </c>
      <c r="B208" s="91">
        <f>(B182+B192+B203)</f>
        <v>3.3384675344962771</v>
      </c>
    </row>
  </sheetData>
  <mergeCells count="2">
    <mergeCell ref="A2:F2"/>
    <mergeCell ref="B42:C42"/>
  </mergeCells>
  <phoneticPr fontId="0" type="noConversion"/>
  <pageMargins left="0.75" right="0.75" top="0.28999999999999998" bottom="0.38" header="0.22" footer="0.35"/>
  <pageSetup scale="82" orientation="portrait" r:id="rId1"/>
  <headerFooter alignWithMargins="0"/>
  <rowBreaks count="2" manualBreakCount="2">
    <brk id="65" max="16383" man="1"/>
    <brk id="1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8"/>
  <sheetViews>
    <sheetView workbookViewId="0">
      <selection activeCell="B170" sqref="B170"/>
    </sheetView>
  </sheetViews>
  <sheetFormatPr defaultRowHeight="12.75" x14ac:dyDescent="0.2"/>
  <cols>
    <col min="1" max="1" width="23.140625" customWidth="1"/>
    <col min="2" max="2" width="14.140625" customWidth="1"/>
    <col min="3" max="3" width="9.42578125" bestFit="1" customWidth="1"/>
  </cols>
  <sheetData>
    <row r="1" spans="1:8" x14ac:dyDescent="0.2">
      <c r="A1" s="6" t="s">
        <v>142</v>
      </c>
    </row>
    <row r="2" spans="1:8" x14ac:dyDescent="0.2">
      <c r="A2" s="321" t="s">
        <v>103</v>
      </c>
      <c r="B2" s="322"/>
      <c r="C2" s="322"/>
      <c r="D2" s="322"/>
      <c r="E2" s="322"/>
      <c r="F2" s="323"/>
      <c r="G2" s="3"/>
      <c r="H2" s="3"/>
    </row>
    <row r="3" spans="1:8" x14ac:dyDescent="0.2">
      <c r="A3" s="28" t="s">
        <v>178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 x14ac:dyDescent="0.2">
      <c r="A4" s="1"/>
      <c r="B4" s="1" t="s">
        <v>2</v>
      </c>
      <c r="C4" s="1"/>
      <c r="D4" s="1">
        <v>100</v>
      </c>
      <c r="E4" s="4">
        <f>D4/$D$12</f>
        <v>1.0732342437618931</v>
      </c>
      <c r="F4" s="1"/>
      <c r="G4" s="3"/>
      <c r="H4" s="3"/>
    </row>
    <row r="5" spans="1:8" x14ac:dyDescent="0.2">
      <c r="A5" s="1"/>
      <c r="B5" s="1" t="s">
        <v>3</v>
      </c>
      <c r="C5" s="1">
        <v>0.3</v>
      </c>
      <c r="D5" s="1">
        <f>D4-C5</f>
        <v>99.7</v>
      </c>
      <c r="E5" s="4">
        <f t="shared" ref="E5:E12" si="0">D5/$D$12</f>
        <v>1.0700145410306074</v>
      </c>
      <c r="F5" s="1"/>
      <c r="G5" s="3"/>
      <c r="H5" s="3"/>
    </row>
    <row r="6" spans="1:8" x14ac:dyDescent="0.2">
      <c r="A6" s="1"/>
      <c r="B6" s="1" t="s">
        <v>4</v>
      </c>
      <c r="C6" s="1">
        <v>2.5</v>
      </c>
      <c r="D6" s="5">
        <f t="shared" ref="D6:D12" si="1">D5-D5*(C6/100)</f>
        <v>97.207499999999996</v>
      </c>
      <c r="E6" s="4">
        <f t="shared" si="0"/>
        <v>1.0432641775048421</v>
      </c>
      <c r="F6" s="1"/>
      <c r="G6" s="3"/>
      <c r="H6" s="3"/>
    </row>
    <row r="7" spans="1:8" x14ac:dyDescent="0.2">
      <c r="A7" s="1"/>
      <c r="B7" s="1" t="s">
        <v>5</v>
      </c>
      <c r="C7" s="1">
        <v>0.5</v>
      </c>
      <c r="D7" s="5">
        <f t="shared" si="1"/>
        <v>96.721462500000001</v>
      </c>
      <c r="E7" s="4">
        <f t="shared" si="0"/>
        <v>1.0380478566173181</v>
      </c>
      <c r="F7" s="1"/>
      <c r="G7" s="3"/>
      <c r="H7" s="3"/>
    </row>
    <row r="8" spans="1:8" x14ac:dyDescent="0.2">
      <c r="A8" s="1"/>
      <c r="B8" s="1" t="s">
        <v>6</v>
      </c>
      <c r="C8" s="1">
        <v>0.2</v>
      </c>
      <c r="D8" s="5">
        <f t="shared" si="1"/>
        <v>96.528019575000002</v>
      </c>
      <c r="E8" s="4">
        <f t="shared" si="0"/>
        <v>1.0359717609040835</v>
      </c>
      <c r="F8" s="1"/>
      <c r="G8" s="3"/>
      <c r="H8" s="3"/>
    </row>
    <row r="9" spans="1:8" x14ac:dyDescent="0.2">
      <c r="A9" s="1"/>
      <c r="B9" s="1" t="s">
        <v>7</v>
      </c>
      <c r="C9" s="1">
        <v>2.5</v>
      </c>
      <c r="D9" s="5">
        <f t="shared" si="1"/>
        <v>94.114819085625001</v>
      </c>
      <c r="E9" s="4">
        <f t="shared" si="0"/>
        <v>1.0100724668814813</v>
      </c>
      <c r="F9" s="1"/>
      <c r="G9" s="3"/>
      <c r="H9" s="3"/>
    </row>
    <row r="10" spans="1:8" x14ac:dyDescent="0.2">
      <c r="A10" s="1"/>
      <c r="B10" s="1" t="s">
        <v>8</v>
      </c>
      <c r="C10" s="1">
        <v>0.6</v>
      </c>
      <c r="D10" s="5">
        <f t="shared" si="1"/>
        <v>93.550130171111249</v>
      </c>
      <c r="E10" s="4">
        <f t="shared" si="0"/>
        <v>1.0040120320801924</v>
      </c>
      <c r="F10" s="1"/>
      <c r="G10" s="3"/>
      <c r="H10" s="3"/>
    </row>
    <row r="11" spans="1:8" x14ac:dyDescent="0.2">
      <c r="A11" s="3"/>
      <c r="B11" s="132" t="s">
        <v>184</v>
      </c>
      <c r="C11" s="133">
        <v>0.2</v>
      </c>
      <c r="D11" s="5">
        <f t="shared" si="1"/>
        <v>93.363029910769029</v>
      </c>
      <c r="E11" s="4">
        <f t="shared" si="0"/>
        <v>1.002004008016032</v>
      </c>
      <c r="F11" s="3"/>
      <c r="G11" s="3"/>
      <c r="H11" s="3"/>
    </row>
    <row r="12" spans="1:8" x14ac:dyDescent="0.2">
      <c r="A12" s="3"/>
      <c r="B12" s="136" t="s">
        <v>180</v>
      </c>
      <c r="C12" s="137">
        <v>0.2</v>
      </c>
      <c r="D12" s="5">
        <f t="shared" si="1"/>
        <v>93.176303850947491</v>
      </c>
      <c r="E12" s="4">
        <f t="shared" si="0"/>
        <v>1</v>
      </c>
      <c r="F12" s="3"/>
      <c r="G12" s="3"/>
      <c r="H12" s="3"/>
    </row>
    <row r="14" spans="1:8" x14ac:dyDescent="0.2">
      <c r="A14" s="35" t="s">
        <v>2</v>
      </c>
      <c r="B14" s="36"/>
      <c r="C14" s="35" t="s">
        <v>104</v>
      </c>
      <c r="D14" s="22"/>
      <c r="E14" s="22" t="s">
        <v>111</v>
      </c>
      <c r="F14" s="36">
        <f>2*22.5</f>
        <v>45</v>
      </c>
    </row>
    <row r="15" spans="1:8" x14ac:dyDescent="0.2">
      <c r="A15" s="23" t="s">
        <v>9</v>
      </c>
      <c r="B15" s="37">
        <f>5*8</f>
        <v>40</v>
      </c>
      <c r="C15" s="23" t="s">
        <v>105</v>
      </c>
      <c r="D15" s="3">
        <v>26.25</v>
      </c>
      <c r="E15" s="3" t="s">
        <v>112</v>
      </c>
      <c r="F15" s="37">
        <f>1*22.5</f>
        <v>22.5</v>
      </c>
    </row>
    <row r="16" spans="1:8" x14ac:dyDescent="0.2">
      <c r="A16" s="23" t="s">
        <v>10</v>
      </c>
      <c r="B16" s="37">
        <v>9000</v>
      </c>
      <c r="C16" s="23" t="s">
        <v>106</v>
      </c>
      <c r="D16" s="3">
        <v>6</v>
      </c>
      <c r="E16" s="3" t="s">
        <v>113</v>
      </c>
      <c r="F16" s="37">
        <v>22.5</v>
      </c>
    </row>
    <row r="17" spans="1:6" x14ac:dyDescent="0.2">
      <c r="A17" s="38" t="s">
        <v>11</v>
      </c>
      <c r="B17" s="39">
        <f>B15*100*E4/B16</f>
        <v>0.47699299722750804</v>
      </c>
      <c r="C17" s="23" t="s">
        <v>107</v>
      </c>
      <c r="D17" s="3">
        <v>0.85</v>
      </c>
      <c r="E17" s="3" t="s">
        <v>114</v>
      </c>
      <c r="F17" s="37">
        <v>22.5</v>
      </c>
    </row>
    <row r="18" spans="1:6" x14ac:dyDescent="0.2">
      <c r="A18" s="23" t="s">
        <v>12</v>
      </c>
      <c r="B18" s="37">
        <f>15*8</f>
        <v>120</v>
      </c>
      <c r="C18" s="23" t="s">
        <v>108</v>
      </c>
      <c r="D18" s="42">
        <f>2*60*D15*D17/D16</f>
        <v>446.25</v>
      </c>
      <c r="E18" s="3" t="s">
        <v>115</v>
      </c>
      <c r="F18" s="37">
        <f>3*8</f>
        <v>24</v>
      </c>
    </row>
    <row r="19" spans="1:6" x14ac:dyDescent="0.2">
      <c r="A19" s="23" t="s">
        <v>10</v>
      </c>
      <c r="B19" s="37">
        <v>9000</v>
      </c>
      <c r="C19" s="23" t="s">
        <v>109</v>
      </c>
      <c r="D19" s="42">
        <f>B30*D18</f>
        <v>7394.3625000000002</v>
      </c>
      <c r="E19" s="3"/>
      <c r="F19" s="43">
        <f>SUM(F14:F18)</f>
        <v>136.5</v>
      </c>
    </row>
    <row r="20" spans="1:6" x14ac:dyDescent="0.2">
      <c r="A20" s="38" t="s">
        <v>11</v>
      </c>
      <c r="B20" s="39">
        <f>B18*100*E4/B19</f>
        <v>1.4309789916825242</v>
      </c>
      <c r="C20" s="23" t="s">
        <v>33</v>
      </c>
      <c r="D20" s="119">
        <v>98.2</v>
      </c>
      <c r="E20" s="24" t="s">
        <v>11</v>
      </c>
      <c r="F20" s="39">
        <f>F19*100*E5/D19</f>
        <v>1.9752478303664165</v>
      </c>
    </row>
    <row r="21" spans="1:6" x14ac:dyDescent="0.2">
      <c r="A21" s="23" t="s">
        <v>13</v>
      </c>
      <c r="B21" s="120">
        <v>5.25</v>
      </c>
      <c r="C21" s="23" t="s">
        <v>110</v>
      </c>
      <c r="D21" s="3">
        <f>D20*0.5*0.9</f>
        <v>44.190000000000005</v>
      </c>
      <c r="E21" s="3"/>
      <c r="F21" s="37"/>
    </row>
    <row r="22" spans="1:6" x14ac:dyDescent="0.2">
      <c r="A22" s="23" t="s">
        <v>14</v>
      </c>
      <c r="B22" s="120">
        <v>500</v>
      </c>
      <c r="C22" s="23"/>
      <c r="D22" s="3"/>
      <c r="E22" s="3"/>
      <c r="F22" s="37"/>
    </row>
    <row r="23" spans="1:6" x14ac:dyDescent="0.2">
      <c r="A23" s="40" t="s">
        <v>15</v>
      </c>
      <c r="B23" s="41">
        <f>B21*0.5*E4/B22</f>
        <v>5.6344797797499395E-3</v>
      </c>
      <c r="C23" s="40" t="s">
        <v>15</v>
      </c>
      <c r="D23" s="45">
        <f>D21*B31*E5/D19</f>
        <v>0.14387835432509663</v>
      </c>
      <c r="E23" s="26"/>
      <c r="F23" s="46"/>
    </row>
    <row r="24" spans="1:6" x14ac:dyDescent="0.2">
      <c r="A24" s="35" t="s">
        <v>159</v>
      </c>
      <c r="B24" s="47" t="s">
        <v>146</v>
      </c>
      <c r="C24" s="6"/>
    </row>
    <row r="25" spans="1:6" x14ac:dyDescent="0.2">
      <c r="A25" s="48" t="s">
        <v>16</v>
      </c>
      <c r="B25" s="37">
        <v>0.18</v>
      </c>
    </row>
    <row r="26" spans="1:6" x14ac:dyDescent="0.2">
      <c r="A26" s="48" t="s">
        <v>17</v>
      </c>
      <c r="B26" s="37">
        <v>80</v>
      </c>
    </row>
    <row r="27" spans="1:6" x14ac:dyDescent="0.2">
      <c r="A27" s="48" t="s">
        <v>18</v>
      </c>
      <c r="B27" s="37">
        <v>0.85</v>
      </c>
    </row>
    <row r="28" spans="1:6" x14ac:dyDescent="0.2">
      <c r="A28" s="48" t="s">
        <v>19</v>
      </c>
      <c r="B28" s="49">
        <f>B26*1.0936*60*B27*0.4536/(840*B25)</f>
        <v>13.385664</v>
      </c>
      <c r="C28" s="9"/>
    </row>
    <row r="29" spans="1:6" x14ac:dyDescent="0.2">
      <c r="A29" s="48" t="s">
        <v>20</v>
      </c>
      <c r="B29" s="37">
        <v>4</v>
      </c>
    </row>
    <row r="30" spans="1:6" x14ac:dyDescent="0.2">
      <c r="A30" s="48" t="s">
        <v>21</v>
      </c>
      <c r="B30" s="121">
        <v>16.57</v>
      </c>
      <c r="C30" s="122"/>
    </row>
    <row r="31" spans="1:6" x14ac:dyDescent="0.2">
      <c r="A31" s="48" t="s">
        <v>22</v>
      </c>
      <c r="B31" s="37">
        <v>22.5</v>
      </c>
    </row>
    <row r="32" spans="1:6" x14ac:dyDescent="0.2">
      <c r="A32" s="48" t="s">
        <v>23</v>
      </c>
      <c r="B32" s="50">
        <f>B31*B28*B29</f>
        <v>1204.70976</v>
      </c>
      <c r="C32" s="11"/>
    </row>
    <row r="33" spans="1:5" x14ac:dyDescent="0.2">
      <c r="A33" s="48" t="s">
        <v>25</v>
      </c>
      <c r="B33" s="49">
        <v>22.5</v>
      </c>
    </row>
    <row r="34" spans="1:5" x14ac:dyDescent="0.2">
      <c r="A34" s="38" t="s">
        <v>102</v>
      </c>
      <c r="B34" s="76">
        <f>B33*100*E7/B32</f>
        <v>1.9387306012935148</v>
      </c>
    </row>
    <row r="35" spans="1:5" x14ac:dyDescent="0.2">
      <c r="A35" s="48" t="s">
        <v>26</v>
      </c>
      <c r="B35" s="49">
        <f>B30*0.55*B27</f>
        <v>7.7464750000000002</v>
      </c>
    </row>
    <row r="36" spans="1:5" x14ac:dyDescent="0.2">
      <c r="A36" s="38" t="s">
        <v>15</v>
      </c>
      <c r="B36" s="39">
        <f>B35*B29*E7/B32*B31</f>
        <v>0.60073312538620716</v>
      </c>
    </row>
    <row r="37" spans="1:5" x14ac:dyDescent="0.2">
      <c r="A37" s="35" t="s">
        <v>5</v>
      </c>
      <c r="B37" s="70" t="s">
        <v>27</v>
      </c>
      <c r="C37" s="62" t="s">
        <v>28</v>
      </c>
    </row>
    <row r="38" spans="1:5" x14ac:dyDescent="0.2">
      <c r="A38" s="23" t="s">
        <v>16</v>
      </c>
      <c r="B38" s="56">
        <v>0.105</v>
      </c>
      <c r="C38" s="63">
        <v>0.11</v>
      </c>
      <c r="E38" s="11"/>
    </row>
    <row r="39" spans="1:5" x14ac:dyDescent="0.2">
      <c r="A39" s="23" t="s">
        <v>17</v>
      </c>
      <c r="B39" s="56">
        <v>220</v>
      </c>
      <c r="C39" s="63">
        <v>400</v>
      </c>
    </row>
    <row r="40" spans="1:5" x14ac:dyDescent="0.2">
      <c r="A40" s="48" t="s">
        <v>18</v>
      </c>
      <c r="B40" s="56">
        <v>0.85</v>
      </c>
      <c r="C40" s="63">
        <v>0.85</v>
      </c>
    </row>
    <row r="41" spans="1:5" x14ac:dyDescent="0.2">
      <c r="A41" s="48" t="s">
        <v>29</v>
      </c>
      <c r="B41" s="57">
        <f>24*60*B39*1.0936*B40*2*0.4536/(840*B38)</f>
        <v>3028.9845394285708</v>
      </c>
      <c r="C41" s="64">
        <f>24*60*C39*1.0936*C40*0.4536/(840*C38)</f>
        <v>2628.4576581818178</v>
      </c>
    </row>
    <row r="42" spans="1:5" x14ac:dyDescent="0.2">
      <c r="A42" s="48" t="s">
        <v>30</v>
      </c>
      <c r="B42" s="56">
        <f>4*22.5/9</f>
        <v>10</v>
      </c>
      <c r="C42" s="63">
        <f>4*22.5/9</f>
        <v>10</v>
      </c>
    </row>
    <row r="43" spans="1:5" x14ac:dyDescent="0.2">
      <c r="A43" s="71" t="s">
        <v>31</v>
      </c>
      <c r="B43" s="72">
        <f>B42*100*E7/B41</f>
        <v>0.3427049042690557</v>
      </c>
      <c r="C43" s="65">
        <f>C42*100*E7/C41</f>
        <v>0.39492660396719748</v>
      </c>
    </row>
    <row r="44" spans="1:5" x14ac:dyDescent="0.2">
      <c r="A44" s="38" t="s">
        <v>32</v>
      </c>
      <c r="B44" s="324">
        <f>B43+C43</f>
        <v>0.73763150823625323</v>
      </c>
      <c r="C44" s="325"/>
    </row>
    <row r="45" spans="1:5" x14ac:dyDescent="0.2">
      <c r="A45" s="73" t="s">
        <v>33</v>
      </c>
      <c r="B45" s="74">
        <v>7.5</v>
      </c>
      <c r="C45" s="66">
        <v>12.33</v>
      </c>
    </row>
    <row r="46" spans="1:5" x14ac:dyDescent="0.2">
      <c r="A46" s="48" t="s">
        <v>34</v>
      </c>
      <c r="B46" s="59">
        <f>B45*0.5*B40*24</f>
        <v>76.5</v>
      </c>
      <c r="C46" s="67">
        <f>C45*0.5*C40*24</f>
        <v>125.76599999999999</v>
      </c>
    </row>
    <row r="47" spans="1:5" x14ac:dyDescent="0.2">
      <c r="A47" s="48" t="s">
        <v>35</v>
      </c>
      <c r="B47" s="60">
        <f>B46*E7/B41</f>
        <v>2.6216925176582761E-2</v>
      </c>
      <c r="C47" s="68">
        <f>C46*E7/C41</f>
        <v>4.966833927453855E-2</v>
      </c>
    </row>
    <row r="48" spans="1:5" x14ac:dyDescent="0.2">
      <c r="A48" s="40" t="s">
        <v>36</v>
      </c>
      <c r="B48" s="61">
        <f>B47+C47</f>
        <v>7.5885264451121315E-2</v>
      </c>
      <c r="C48" s="69"/>
    </row>
    <row r="49" spans="1:2" x14ac:dyDescent="0.2">
      <c r="A49" s="35" t="s">
        <v>6</v>
      </c>
      <c r="B49" s="36"/>
    </row>
    <row r="50" spans="1:2" x14ac:dyDescent="0.2">
      <c r="A50" s="48" t="s">
        <v>16</v>
      </c>
      <c r="B50" s="37">
        <v>0.9</v>
      </c>
    </row>
    <row r="51" spans="1:2" x14ac:dyDescent="0.2">
      <c r="A51" s="48" t="s">
        <v>37</v>
      </c>
      <c r="B51" s="37">
        <v>0.755</v>
      </c>
    </row>
    <row r="52" spans="1:2" x14ac:dyDescent="0.2">
      <c r="A52" s="48" t="s">
        <v>38</v>
      </c>
      <c r="B52" s="37">
        <v>950</v>
      </c>
    </row>
    <row r="53" spans="1:2" x14ac:dyDescent="0.2">
      <c r="A53" s="48" t="s">
        <v>39</v>
      </c>
      <c r="B53" s="37">
        <v>120</v>
      </c>
    </row>
    <row r="54" spans="1:2" x14ac:dyDescent="0.2">
      <c r="A54" s="48" t="s">
        <v>18</v>
      </c>
      <c r="B54" s="37">
        <v>0.85</v>
      </c>
    </row>
    <row r="55" spans="1:2" x14ac:dyDescent="0.2">
      <c r="A55" s="48" t="s">
        <v>29</v>
      </c>
      <c r="B55" s="50">
        <f>7.2*B52*B54*B53*3/(B50*B51*1000)</f>
        <v>3080.2649006622519</v>
      </c>
    </row>
    <row r="56" spans="1:2" x14ac:dyDescent="0.2">
      <c r="A56" s="48" t="s">
        <v>30</v>
      </c>
      <c r="B56" s="37">
        <f>7*22.5</f>
        <v>157.5</v>
      </c>
    </row>
    <row r="57" spans="1:2" x14ac:dyDescent="0.2">
      <c r="A57" s="48" t="s">
        <v>40</v>
      </c>
      <c r="B57" s="37">
        <f>6*22.5</f>
        <v>135</v>
      </c>
    </row>
    <row r="58" spans="1:2" x14ac:dyDescent="0.2">
      <c r="A58" s="48" t="s">
        <v>41</v>
      </c>
      <c r="B58" s="37">
        <f>1*22.5</f>
        <v>22.5</v>
      </c>
    </row>
    <row r="59" spans="1:2" x14ac:dyDescent="0.2">
      <c r="A59" s="48" t="s">
        <v>24</v>
      </c>
      <c r="B59" s="50">
        <f>1*8</f>
        <v>8</v>
      </c>
    </row>
    <row r="60" spans="1:2" x14ac:dyDescent="0.2">
      <c r="A60" s="48" t="s">
        <v>116</v>
      </c>
      <c r="B60" s="37">
        <f>1*22.5</f>
        <v>22.5</v>
      </c>
    </row>
    <row r="61" spans="1:2" x14ac:dyDescent="0.2">
      <c r="A61" s="48" t="s">
        <v>42</v>
      </c>
      <c r="B61" s="37">
        <f>2*22.5</f>
        <v>45</v>
      </c>
    </row>
    <row r="62" spans="1:2" x14ac:dyDescent="0.2">
      <c r="A62" s="48" t="s">
        <v>43</v>
      </c>
      <c r="B62" s="51">
        <f>SUM(B56:B61)</f>
        <v>390.5</v>
      </c>
    </row>
    <row r="63" spans="1:2" x14ac:dyDescent="0.2">
      <c r="A63" s="48" t="s">
        <v>117</v>
      </c>
      <c r="B63" s="50">
        <v>7</v>
      </c>
    </row>
    <row r="64" spans="1:2" x14ac:dyDescent="0.2">
      <c r="A64" s="38" t="s">
        <v>11</v>
      </c>
      <c r="B64" s="76">
        <f>B62/B63*100*E8/B55</f>
        <v>1.8762160569189434</v>
      </c>
    </row>
    <row r="65" spans="1:6" x14ac:dyDescent="0.2">
      <c r="A65" s="48" t="s">
        <v>33</v>
      </c>
      <c r="B65" s="37">
        <v>12.62</v>
      </c>
    </row>
    <row r="66" spans="1:6" x14ac:dyDescent="0.2">
      <c r="A66" s="48" t="s">
        <v>34</v>
      </c>
      <c r="B66" s="50">
        <f>B65*0.5*24*B54</f>
        <v>128.72399999999999</v>
      </c>
    </row>
    <row r="67" spans="1:6" x14ac:dyDescent="0.2">
      <c r="A67" s="40" t="s">
        <v>15</v>
      </c>
      <c r="B67" s="41">
        <f>B66*E8/B55</f>
        <v>4.3293169013465777E-2</v>
      </c>
    </row>
    <row r="68" spans="1:6" x14ac:dyDescent="0.2">
      <c r="A68" s="6" t="s">
        <v>44</v>
      </c>
      <c r="B68" s="7">
        <f>B17+B20+F20+B34+B44+B64</f>
        <v>8.435797985725161</v>
      </c>
      <c r="C68" s="7"/>
      <c r="D68" s="7"/>
      <c r="E68" s="7"/>
      <c r="F68" s="7"/>
    </row>
    <row r="69" spans="1:6" x14ac:dyDescent="0.2">
      <c r="A69" s="6" t="s">
        <v>45</v>
      </c>
      <c r="B69" s="7">
        <f>B23+D23+B36+B48+B67</f>
        <v>0.86942439295564089</v>
      </c>
      <c r="C69" s="7"/>
      <c r="D69" s="7"/>
      <c r="E69" s="7"/>
      <c r="F69" s="7"/>
    </row>
    <row r="71" spans="1:6" x14ac:dyDescent="0.2">
      <c r="A71" s="35" t="s">
        <v>46</v>
      </c>
      <c r="B71" s="127" t="s">
        <v>179</v>
      </c>
      <c r="D71" s="13"/>
      <c r="E71" s="13"/>
    </row>
    <row r="72" spans="1:6" x14ac:dyDescent="0.2">
      <c r="A72" s="48" t="s">
        <v>47</v>
      </c>
      <c r="B72" s="134">
        <v>20</v>
      </c>
    </row>
    <row r="73" spans="1:6" x14ac:dyDescent="0.2">
      <c r="A73" s="48" t="s">
        <v>48</v>
      </c>
      <c r="B73" s="37">
        <v>14.97</v>
      </c>
    </row>
    <row r="74" spans="1:6" x14ac:dyDescent="0.2">
      <c r="A74" s="48" t="s">
        <v>38</v>
      </c>
      <c r="B74" s="37">
        <v>12775</v>
      </c>
    </row>
    <row r="75" spans="1:6" x14ac:dyDescent="0.2">
      <c r="A75" s="48" t="s">
        <v>18</v>
      </c>
      <c r="B75" s="37">
        <v>0.92500000000000004</v>
      </c>
    </row>
    <row r="76" spans="1:6" x14ac:dyDescent="0.2">
      <c r="A76" s="48" t="s">
        <v>49</v>
      </c>
      <c r="B76" s="37">
        <v>0.95499999999999996</v>
      </c>
    </row>
    <row r="77" spans="1:6" x14ac:dyDescent="0.2">
      <c r="A77" s="38" t="s">
        <v>50</v>
      </c>
      <c r="B77" s="93">
        <f>7.2*B74*B75/(B72*B73)</f>
        <v>284.17334669338675</v>
      </c>
      <c r="D77" s="16"/>
      <c r="E77" s="16"/>
    </row>
    <row r="78" spans="1:6" x14ac:dyDescent="0.2">
      <c r="A78" s="48" t="s">
        <v>51</v>
      </c>
      <c r="B78" s="123">
        <v>0.95</v>
      </c>
      <c r="D78" s="124"/>
      <c r="E78" s="124"/>
    </row>
    <row r="79" spans="1:6" x14ac:dyDescent="0.2">
      <c r="A79" s="48" t="s">
        <v>52</v>
      </c>
      <c r="B79" s="52">
        <f>B78*(7.5+80/B72+500/B73/B73)*(B74/10000)*(B74/10000)</f>
        <v>21.288837649824604</v>
      </c>
      <c r="D79" s="17"/>
      <c r="E79" s="17"/>
    </row>
    <row r="80" spans="1:6" x14ac:dyDescent="0.2">
      <c r="A80" s="38" t="s">
        <v>101</v>
      </c>
      <c r="B80" s="39">
        <f>B79*8*$E$9/B77</f>
        <v>0.60535638580345763</v>
      </c>
      <c r="D80" s="7"/>
      <c r="E80" s="7"/>
    </row>
    <row r="81" spans="1:6" x14ac:dyDescent="0.2">
      <c r="A81" s="48" t="s">
        <v>118</v>
      </c>
      <c r="B81" s="37">
        <v>9.6</v>
      </c>
    </row>
    <row r="82" spans="1:6" x14ac:dyDescent="0.2">
      <c r="A82" s="48" t="s">
        <v>53</v>
      </c>
      <c r="B82" s="52">
        <f>B81*0.55*24*0.98/(1.008*B77*3)*$E$9</f>
        <v>0.14596833161610798</v>
      </c>
      <c r="D82" s="17"/>
      <c r="E82" s="17"/>
    </row>
    <row r="83" spans="1:6" x14ac:dyDescent="0.2">
      <c r="A83" s="48" t="s">
        <v>54</v>
      </c>
      <c r="B83" s="37"/>
    </row>
    <row r="84" spans="1:6" x14ac:dyDescent="0.2">
      <c r="A84" s="48" t="s">
        <v>55</v>
      </c>
      <c r="B84" s="37">
        <v>900</v>
      </c>
    </row>
    <row r="85" spans="1:6" x14ac:dyDescent="0.2">
      <c r="A85" s="48" t="s">
        <v>56</v>
      </c>
      <c r="B85" s="37">
        <v>1440</v>
      </c>
    </row>
    <row r="86" spans="1:6" x14ac:dyDescent="0.2">
      <c r="A86" s="48" t="s">
        <v>57</v>
      </c>
      <c r="B86" s="37">
        <v>2460</v>
      </c>
    </row>
    <row r="87" spans="1:6" x14ac:dyDescent="0.2">
      <c r="A87" s="48" t="s">
        <v>58</v>
      </c>
      <c r="B87" s="37">
        <v>50</v>
      </c>
    </row>
    <row r="88" spans="1:6" x14ac:dyDescent="0.2">
      <c r="A88" s="48" t="s">
        <v>119</v>
      </c>
      <c r="B88" s="37">
        <v>50</v>
      </c>
    </row>
    <row r="89" spans="1:6" x14ac:dyDescent="0.2">
      <c r="A89" s="48" t="s">
        <v>59</v>
      </c>
      <c r="B89" s="37">
        <f>SUM(B84:B88)</f>
        <v>4900</v>
      </c>
    </row>
    <row r="90" spans="1:6" x14ac:dyDescent="0.2">
      <c r="A90" s="48" t="s">
        <v>60</v>
      </c>
      <c r="B90" s="37">
        <v>18144</v>
      </c>
    </row>
    <row r="91" spans="1:6" x14ac:dyDescent="0.2">
      <c r="A91" s="48" t="s">
        <v>61</v>
      </c>
      <c r="B91" s="87">
        <v>0.94799999999999995</v>
      </c>
      <c r="D91" s="125"/>
      <c r="E91" s="125"/>
      <c r="F91" s="125"/>
    </row>
    <row r="92" spans="1:6" x14ac:dyDescent="0.2">
      <c r="A92" s="48" t="s">
        <v>62</v>
      </c>
      <c r="B92" s="49">
        <f>B89*1000/(B90*3*B91)</f>
        <v>94.9584136410203</v>
      </c>
      <c r="D92" s="9"/>
      <c r="E92" s="9"/>
    </row>
    <row r="93" spans="1:6" x14ac:dyDescent="0.2">
      <c r="A93" s="48" t="s">
        <v>63</v>
      </c>
      <c r="B93" s="52">
        <f>B92*$E$9/B77</f>
        <v>0.33752243211262994</v>
      </c>
      <c r="D93" s="17"/>
      <c r="E93" s="17"/>
    </row>
    <row r="94" spans="1:6" x14ac:dyDescent="0.2">
      <c r="A94" s="38" t="s">
        <v>64</v>
      </c>
      <c r="B94" s="39">
        <f>(B93+B82)</f>
        <v>0.48349076372873789</v>
      </c>
      <c r="D94" s="7"/>
      <c r="E94" s="7"/>
    </row>
    <row r="95" spans="1:6" x14ac:dyDescent="0.2">
      <c r="A95" s="48" t="s">
        <v>65</v>
      </c>
      <c r="B95" s="120">
        <f>3*504</f>
        <v>1512</v>
      </c>
      <c r="D95" s="125"/>
      <c r="E95" s="125"/>
      <c r="F95" s="125"/>
    </row>
    <row r="96" spans="1:6" x14ac:dyDescent="0.2">
      <c r="A96" s="38" t="s">
        <v>66</v>
      </c>
      <c r="B96" s="76">
        <f>7.5*100*$E$9/(B95*B77/1000)*7/6</f>
        <v>2.0569581362749703</v>
      </c>
      <c r="D96" s="12"/>
      <c r="E96" s="12"/>
    </row>
    <row r="97" spans="1:5" x14ac:dyDescent="0.2">
      <c r="A97" s="48" t="s">
        <v>67</v>
      </c>
      <c r="B97" s="123">
        <v>8400</v>
      </c>
      <c r="D97" s="124"/>
      <c r="E97" s="124"/>
    </row>
    <row r="98" spans="1:5" x14ac:dyDescent="0.2">
      <c r="A98" s="48" t="s">
        <v>68</v>
      </c>
      <c r="B98" s="120">
        <f>12*22.5</f>
        <v>270</v>
      </c>
      <c r="D98" s="125"/>
      <c r="E98" s="125"/>
    </row>
    <row r="99" spans="1:5" x14ac:dyDescent="0.2">
      <c r="A99" s="38" t="s">
        <v>69</v>
      </c>
      <c r="B99" s="76">
        <f>B98*100*$E$9/B97</f>
        <v>3.2466615006904758</v>
      </c>
      <c r="D99" s="12"/>
      <c r="E99" s="12"/>
    </row>
    <row r="100" spans="1:5" x14ac:dyDescent="0.2">
      <c r="A100" s="48" t="s">
        <v>70</v>
      </c>
      <c r="B100" s="37"/>
    </row>
    <row r="101" spans="1:5" x14ac:dyDescent="0.2">
      <c r="A101" s="48" t="s">
        <v>41</v>
      </c>
      <c r="B101" s="37">
        <f>1*22.5</f>
        <v>22.5</v>
      </c>
    </row>
    <row r="102" spans="1:5" x14ac:dyDescent="0.2">
      <c r="A102" s="48" t="s">
        <v>71</v>
      </c>
      <c r="B102" s="37">
        <f>1*22.5</f>
        <v>22.5</v>
      </c>
    </row>
    <row r="103" spans="1:5" x14ac:dyDescent="0.2">
      <c r="A103" s="48" t="s">
        <v>72</v>
      </c>
      <c r="B103" s="37">
        <f>3*22.5</f>
        <v>67.5</v>
      </c>
    </row>
    <row r="104" spans="1:5" x14ac:dyDescent="0.2">
      <c r="A104" s="48" t="s">
        <v>120</v>
      </c>
      <c r="B104" s="37">
        <f>12*8</f>
        <v>96</v>
      </c>
    </row>
    <row r="105" spans="1:5" x14ac:dyDescent="0.2">
      <c r="A105" s="48" t="s">
        <v>73</v>
      </c>
      <c r="B105" s="37">
        <f>26*8</f>
        <v>208</v>
      </c>
    </row>
    <row r="106" spans="1:5" x14ac:dyDescent="0.2">
      <c r="A106" s="48" t="s">
        <v>74</v>
      </c>
      <c r="B106" s="37">
        <f>3*8</f>
        <v>24</v>
      </c>
    </row>
    <row r="107" spans="1:5" x14ac:dyDescent="0.2">
      <c r="A107" s="48" t="s">
        <v>42</v>
      </c>
      <c r="B107" s="37">
        <f>5*22.5</f>
        <v>112.5</v>
      </c>
    </row>
    <row r="108" spans="1:5" x14ac:dyDescent="0.2">
      <c r="A108" s="48" t="s">
        <v>75</v>
      </c>
      <c r="B108" s="37">
        <f>3*7</f>
        <v>21</v>
      </c>
    </row>
    <row r="109" spans="1:5" x14ac:dyDescent="0.2">
      <c r="A109" s="48" t="s">
        <v>76</v>
      </c>
      <c r="B109" s="50">
        <f>58*0.8</f>
        <v>46.400000000000006</v>
      </c>
      <c r="D109" s="11"/>
      <c r="E109" s="11"/>
    </row>
    <row r="110" spans="1:5" x14ac:dyDescent="0.2">
      <c r="A110" s="48" t="s">
        <v>122</v>
      </c>
      <c r="B110" s="50">
        <f>9*8*0.8</f>
        <v>57.6</v>
      </c>
      <c r="D110" s="11"/>
      <c r="E110" s="11"/>
    </row>
    <row r="111" spans="1:5" x14ac:dyDescent="0.2">
      <c r="A111" s="48" t="s">
        <v>121</v>
      </c>
      <c r="B111" s="50">
        <f>1*8*0.8</f>
        <v>6.4</v>
      </c>
      <c r="D111" s="11"/>
      <c r="E111" s="11"/>
    </row>
    <row r="112" spans="1:5" x14ac:dyDescent="0.2">
      <c r="A112" s="48" t="s">
        <v>77</v>
      </c>
      <c r="B112" s="50">
        <f>1*8*0.8</f>
        <v>6.4</v>
      </c>
      <c r="D112" s="11"/>
      <c r="E112" s="11"/>
    </row>
    <row r="113" spans="1:5" x14ac:dyDescent="0.2">
      <c r="A113" s="48" t="s">
        <v>78</v>
      </c>
      <c r="B113" s="50">
        <f>2*8*0.8</f>
        <v>12.8</v>
      </c>
      <c r="D113" s="11"/>
      <c r="E113" s="11"/>
    </row>
    <row r="114" spans="1:5" x14ac:dyDescent="0.2">
      <c r="A114" s="48" t="s">
        <v>79</v>
      </c>
      <c r="B114" s="50">
        <f>4*8*0.8</f>
        <v>25.6</v>
      </c>
      <c r="D114" s="11"/>
      <c r="E114" s="11"/>
    </row>
    <row r="115" spans="1:5" x14ac:dyDescent="0.2">
      <c r="A115" s="48" t="s">
        <v>80</v>
      </c>
      <c r="B115" s="50">
        <f>SUM(B101:B114)</f>
        <v>729.19999999999993</v>
      </c>
      <c r="D115" s="11"/>
      <c r="E115" s="11"/>
    </row>
    <row r="116" spans="1:5" x14ac:dyDescent="0.2">
      <c r="A116" s="48" t="s">
        <v>81</v>
      </c>
      <c r="B116" s="49">
        <f>B115*1000/(B90*3*B91)</f>
        <v>14.131362291231019</v>
      </c>
      <c r="D116" s="9"/>
      <c r="E116" s="9"/>
    </row>
    <row r="117" spans="1:5" x14ac:dyDescent="0.2">
      <c r="A117" s="40" t="s">
        <v>82</v>
      </c>
      <c r="B117" s="41">
        <f>B116*100*$E$9/B77</f>
        <v>5.0228848468679539</v>
      </c>
      <c r="D117" s="7"/>
      <c r="E117" s="7"/>
    </row>
    <row r="118" spans="1:5" x14ac:dyDescent="0.2">
      <c r="A118" s="82"/>
    </row>
    <row r="119" spans="1:5" x14ac:dyDescent="0.2">
      <c r="A119" s="35" t="s">
        <v>8</v>
      </c>
      <c r="B119" s="36"/>
    </row>
    <row r="120" spans="1:5" x14ac:dyDescent="0.2">
      <c r="A120" s="23" t="s">
        <v>47</v>
      </c>
      <c r="B120" s="37">
        <f>B72</f>
        <v>20</v>
      </c>
    </row>
    <row r="121" spans="1:5" x14ac:dyDescent="0.2">
      <c r="A121" s="48" t="s">
        <v>17</v>
      </c>
      <c r="B121" s="37">
        <v>1450</v>
      </c>
    </row>
    <row r="122" spans="1:5" x14ac:dyDescent="0.2">
      <c r="A122" s="23" t="s">
        <v>83</v>
      </c>
      <c r="B122" s="37">
        <v>60</v>
      </c>
    </row>
    <row r="123" spans="1:5" x14ac:dyDescent="0.2">
      <c r="A123" s="48" t="s">
        <v>84</v>
      </c>
      <c r="B123" s="37">
        <v>0.7</v>
      </c>
    </row>
    <row r="124" spans="1:5" x14ac:dyDescent="0.2">
      <c r="A124" s="23" t="s">
        <v>85</v>
      </c>
      <c r="B124" s="50">
        <f>B121*1.0936*23.5*60*B123*B122/(840*B120)*0.4536</f>
        <v>2535.4711367999994</v>
      </c>
      <c r="D124" s="11"/>
      <c r="E124" s="11"/>
    </row>
    <row r="125" spans="1:5" x14ac:dyDescent="0.2">
      <c r="A125" s="23" t="s">
        <v>86</v>
      </c>
      <c r="B125" s="120">
        <v>12.77</v>
      </c>
      <c r="D125" s="125"/>
      <c r="E125" s="125"/>
    </row>
    <row r="126" spans="1:5" x14ac:dyDescent="0.2">
      <c r="A126" s="23" t="s">
        <v>87</v>
      </c>
      <c r="B126" s="49">
        <v>4</v>
      </c>
      <c r="D126" s="9"/>
      <c r="E126" s="9"/>
    </row>
    <row r="127" spans="1:5" x14ac:dyDescent="0.2">
      <c r="A127" s="23" t="s">
        <v>88</v>
      </c>
      <c r="B127" s="49">
        <f>SUM(B125:B126)</f>
        <v>16.77</v>
      </c>
      <c r="D127" s="9"/>
      <c r="E127" s="9"/>
    </row>
    <row r="128" spans="1:5" x14ac:dyDescent="0.2">
      <c r="A128" s="38" t="s">
        <v>35</v>
      </c>
      <c r="B128" s="39">
        <f>B127*23.5/B124</f>
        <v>0.15543265087110578</v>
      </c>
      <c r="D128" s="7"/>
      <c r="E128" s="7"/>
    </row>
    <row r="129" spans="1:5" x14ac:dyDescent="0.2">
      <c r="A129" s="23" t="s">
        <v>89</v>
      </c>
      <c r="B129" s="37">
        <f>3*22.5</f>
        <v>67.5</v>
      </c>
    </row>
    <row r="130" spans="1:5" x14ac:dyDescent="0.2">
      <c r="A130" s="23" t="s">
        <v>123</v>
      </c>
      <c r="B130" s="49">
        <f>2*22.5</f>
        <v>45</v>
      </c>
      <c r="D130" s="9"/>
      <c r="E130" s="9"/>
    </row>
    <row r="131" spans="1:5" x14ac:dyDescent="0.2">
      <c r="A131" s="23" t="s">
        <v>124</v>
      </c>
      <c r="B131" s="49">
        <f>2*22.5</f>
        <v>45</v>
      </c>
      <c r="D131" s="9"/>
      <c r="E131" s="9"/>
    </row>
    <row r="132" spans="1:5" x14ac:dyDescent="0.2">
      <c r="A132" s="23" t="s">
        <v>90</v>
      </c>
      <c r="B132" s="49">
        <f>3*22.5</f>
        <v>67.5</v>
      </c>
      <c r="D132" s="9"/>
      <c r="E132" s="9"/>
    </row>
    <row r="133" spans="1:5" x14ac:dyDescent="0.2">
      <c r="A133" s="23" t="s">
        <v>41</v>
      </c>
      <c r="B133" s="49">
        <f>1*22.5</f>
        <v>22.5</v>
      </c>
      <c r="D133" s="9"/>
      <c r="E133" s="9"/>
    </row>
    <row r="134" spans="1:5" x14ac:dyDescent="0.2">
      <c r="A134" s="23" t="s">
        <v>42</v>
      </c>
      <c r="B134" s="49">
        <f>2*22.5</f>
        <v>45</v>
      </c>
      <c r="D134" s="9"/>
      <c r="E134" s="9"/>
    </row>
    <row r="135" spans="1:5" x14ac:dyDescent="0.2">
      <c r="A135" s="23" t="s">
        <v>91</v>
      </c>
      <c r="B135" s="49">
        <f>1*22.5</f>
        <v>22.5</v>
      </c>
      <c r="D135" s="9"/>
      <c r="E135" s="9"/>
    </row>
    <row r="136" spans="1:5" x14ac:dyDescent="0.2">
      <c r="A136" s="23" t="s">
        <v>125</v>
      </c>
      <c r="B136" s="49">
        <f>3*8</f>
        <v>24</v>
      </c>
      <c r="D136" s="9"/>
      <c r="E136" s="9"/>
    </row>
    <row r="137" spans="1:5" x14ac:dyDescent="0.2">
      <c r="A137" s="23" t="s">
        <v>126</v>
      </c>
      <c r="B137" s="49">
        <f>SUM(B129:B136)</f>
        <v>339</v>
      </c>
      <c r="D137" s="9"/>
      <c r="E137" s="9"/>
    </row>
    <row r="138" spans="1:5" x14ac:dyDescent="0.2">
      <c r="A138" s="40" t="s">
        <v>31</v>
      </c>
      <c r="B138" s="126">
        <f>B137/5*100/B124</f>
        <v>2.6740592316728131</v>
      </c>
      <c r="D138" s="12"/>
      <c r="E138" s="12"/>
    </row>
    <row r="139" spans="1:5" x14ac:dyDescent="0.2">
      <c r="A139" s="35" t="s">
        <v>92</v>
      </c>
      <c r="B139" s="36"/>
    </row>
    <row r="140" spans="1:5" x14ac:dyDescent="0.2">
      <c r="A140" s="23" t="s">
        <v>93</v>
      </c>
      <c r="B140" s="37">
        <v>952.56</v>
      </c>
    </row>
    <row r="141" spans="1:5" x14ac:dyDescent="0.2">
      <c r="A141" s="23" t="s">
        <v>140</v>
      </c>
      <c r="B141" s="37">
        <v>2</v>
      </c>
    </row>
    <row r="142" spans="1:5" x14ac:dyDescent="0.2">
      <c r="A142" s="23" t="s">
        <v>102</v>
      </c>
      <c r="B142" s="52">
        <f>B141*100/B140</f>
        <v>0.20996052742084489</v>
      </c>
    </row>
    <row r="143" spans="1:5" x14ac:dyDescent="0.2">
      <c r="A143" s="23" t="s">
        <v>127</v>
      </c>
      <c r="B143" s="37">
        <v>0</v>
      </c>
    </row>
    <row r="144" spans="1:5" x14ac:dyDescent="0.2">
      <c r="A144" s="23" t="s">
        <v>128</v>
      </c>
      <c r="B144" s="37">
        <v>0</v>
      </c>
    </row>
    <row r="145" spans="1:5" x14ac:dyDescent="0.2">
      <c r="A145" s="23" t="s">
        <v>102</v>
      </c>
      <c r="B145" s="52"/>
      <c r="D145" s="17"/>
      <c r="E145" s="17"/>
    </row>
    <row r="146" spans="1:5" x14ac:dyDescent="0.2">
      <c r="A146" s="23" t="s">
        <v>129</v>
      </c>
      <c r="B146" s="50">
        <v>6000</v>
      </c>
      <c r="D146" s="11"/>
      <c r="E146" s="11"/>
    </row>
    <row r="147" spans="1:5" x14ac:dyDescent="0.2">
      <c r="A147" s="23" t="s">
        <v>130</v>
      </c>
      <c r="B147" s="49">
        <f>15*8</f>
        <v>120</v>
      </c>
      <c r="D147" s="9"/>
      <c r="E147" s="9"/>
    </row>
    <row r="148" spans="1:5" x14ac:dyDescent="0.2">
      <c r="A148" s="23" t="s">
        <v>102</v>
      </c>
      <c r="B148" s="58">
        <f>B147*100/B146</f>
        <v>2</v>
      </c>
      <c r="D148" s="14"/>
      <c r="E148" s="14"/>
    </row>
    <row r="149" spans="1:5" x14ac:dyDescent="0.2">
      <c r="A149" s="23" t="s">
        <v>131</v>
      </c>
      <c r="B149" s="50">
        <v>12000</v>
      </c>
      <c r="D149" s="11"/>
      <c r="E149" s="11"/>
    </row>
    <row r="150" spans="1:5" x14ac:dyDescent="0.2">
      <c r="A150" s="23" t="s">
        <v>130</v>
      </c>
      <c r="B150" s="50">
        <f>2*8</f>
        <v>16</v>
      </c>
      <c r="D150" s="11"/>
      <c r="E150" s="11"/>
    </row>
    <row r="151" spans="1:5" x14ac:dyDescent="0.2">
      <c r="A151" s="23" t="s">
        <v>31</v>
      </c>
      <c r="B151" s="52">
        <f>B150*100/B149</f>
        <v>0.13333333333333333</v>
      </c>
      <c r="D151" s="17"/>
      <c r="E151" s="17"/>
    </row>
    <row r="152" spans="1:5" x14ac:dyDescent="0.2">
      <c r="A152" s="23" t="s">
        <v>132</v>
      </c>
      <c r="B152" s="50">
        <v>12000</v>
      </c>
      <c r="D152" s="11"/>
      <c r="E152" s="11"/>
    </row>
    <row r="153" spans="1:5" x14ac:dyDescent="0.2">
      <c r="A153" s="23" t="s">
        <v>130</v>
      </c>
      <c r="B153" s="50">
        <f>4*8</f>
        <v>32</v>
      </c>
      <c r="D153" s="11"/>
      <c r="E153" s="11"/>
    </row>
    <row r="154" spans="1:5" x14ac:dyDescent="0.2">
      <c r="A154" s="23" t="s">
        <v>31</v>
      </c>
      <c r="B154" s="52">
        <f>B153*100/B152</f>
        <v>0.26666666666666666</v>
      </c>
      <c r="D154" s="17"/>
      <c r="E154" s="17"/>
    </row>
    <row r="155" spans="1:5" x14ac:dyDescent="0.2">
      <c r="A155" s="38" t="s">
        <v>31</v>
      </c>
      <c r="B155" s="76">
        <f>B142+B145+B148+B151+B154</f>
        <v>2.6099605274208448</v>
      </c>
      <c r="D155" s="12"/>
      <c r="E155" s="12"/>
    </row>
    <row r="156" spans="1:5" x14ac:dyDescent="0.2">
      <c r="A156" s="23" t="s">
        <v>134</v>
      </c>
      <c r="B156" s="121">
        <v>1.5</v>
      </c>
      <c r="D156" s="122"/>
      <c r="E156" s="122"/>
    </row>
    <row r="157" spans="1:5" x14ac:dyDescent="0.2">
      <c r="A157" s="23" t="s">
        <v>136</v>
      </c>
      <c r="B157" s="37">
        <v>30</v>
      </c>
    </row>
    <row r="158" spans="1:5" x14ac:dyDescent="0.2">
      <c r="A158" s="23" t="s">
        <v>138</v>
      </c>
      <c r="B158" s="37">
        <v>0</v>
      </c>
    </row>
    <row r="159" spans="1:5" x14ac:dyDescent="0.2">
      <c r="A159" s="23" t="s">
        <v>133</v>
      </c>
      <c r="B159" s="121">
        <v>0.5</v>
      </c>
      <c r="D159" s="122"/>
      <c r="E159" s="122"/>
    </row>
    <row r="160" spans="1:5" x14ac:dyDescent="0.2">
      <c r="A160" s="23" t="s">
        <v>137</v>
      </c>
      <c r="B160" s="49">
        <v>0.75</v>
      </c>
      <c r="D160" s="9"/>
      <c r="E160" s="9"/>
    </row>
    <row r="161" spans="1:5" x14ac:dyDescent="0.2">
      <c r="A161" s="23" t="s">
        <v>139</v>
      </c>
      <c r="B161" s="50">
        <v>0</v>
      </c>
      <c r="D161" s="11"/>
      <c r="E161" s="11"/>
    </row>
    <row r="162" spans="1:5" x14ac:dyDescent="0.2">
      <c r="A162" s="23" t="s">
        <v>135</v>
      </c>
      <c r="B162" s="3"/>
    </row>
    <row r="163" spans="1:5" x14ac:dyDescent="0.2">
      <c r="A163" s="40" t="s">
        <v>15</v>
      </c>
      <c r="B163" s="45">
        <f>B156*0.5*B160/60*1.1</f>
        <v>1.03125E-2</v>
      </c>
      <c r="D163" s="7"/>
      <c r="E163" s="7"/>
    </row>
    <row r="165" spans="1:5" x14ac:dyDescent="0.2">
      <c r="B165" s="9"/>
      <c r="D165" s="9"/>
      <c r="E165" s="9"/>
    </row>
    <row r="166" spans="1:5" x14ac:dyDescent="0.2">
      <c r="A166" s="35" t="s">
        <v>94</v>
      </c>
      <c r="B166" s="127" t="str">
        <f>B71</f>
        <v>20s SF</v>
      </c>
      <c r="D166" s="18"/>
      <c r="E166" s="18"/>
    </row>
    <row r="167" spans="1:5" x14ac:dyDescent="0.2">
      <c r="A167" s="38" t="s">
        <v>95</v>
      </c>
      <c r="B167" s="128">
        <f>B77</f>
        <v>284.17334669338675</v>
      </c>
      <c r="D167" s="19"/>
      <c r="E167" s="19"/>
    </row>
    <row r="168" spans="1:5" x14ac:dyDescent="0.2">
      <c r="A168" s="38" t="s">
        <v>96</v>
      </c>
      <c r="B168" s="96">
        <f>B80</f>
        <v>0.60535638580345763</v>
      </c>
      <c r="D168" s="20"/>
      <c r="E168" s="20"/>
    </row>
    <row r="169" spans="1:5" x14ac:dyDescent="0.2">
      <c r="A169" s="38" t="s">
        <v>64</v>
      </c>
      <c r="B169" s="96">
        <f>B94</f>
        <v>0.48349076372873789</v>
      </c>
      <c r="D169" s="20"/>
      <c r="E169" s="20"/>
    </row>
    <row r="170" spans="1:5" x14ac:dyDescent="0.2">
      <c r="A170" s="38" t="s">
        <v>97</v>
      </c>
      <c r="B170" s="96">
        <f>B69+B128+B163</f>
        <v>1.0351695438267465</v>
      </c>
      <c r="D170" s="20"/>
      <c r="E170" s="20"/>
    </row>
    <row r="171" spans="1:5" x14ac:dyDescent="0.2">
      <c r="A171" s="38" t="s">
        <v>98</v>
      </c>
      <c r="B171" s="96">
        <f>B68+B96+B99+B117</f>
        <v>18.762302469558559</v>
      </c>
      <c r="D171" s="20"/>
      <c r="E171" s="20"/>
    </row>
    <row r="172" spans="1:5" x14ac:dyDescent="0.2">
      <c r="A172" s="38" t="s">
        <v>99</v>
      </c>
      <c r="B172" s="96">
        <f>B138</f>
        <v>2.6740592316728131</v>
      </c>
      <c r="D172" s="20"/>
      <c r="E172" s="20"/>
    </row>
    <row r="173" spans="1:5" x14ac:dyDescent="0.2">
      <c r="A173" s="38" t="s">
        <v>100</v>
      </c>
      <c r="B173" s="96">
        <f>B155</f>
        <v>2.6099605274208448</v>
      </c>
      <c r="D173" s="20"/>
      <c r="E173" s="20"/>
    </row>
    <row r="174" spans="1:5" x14ac:dyDescent="0.2">
      <c r="A174" s="40" t="s">
        <v>141</v>
      </c>
      <c r="B174" s="118"/>
    </row>
    <row r="175" spans="1:5" x14ac:dyDescent="0.2">
      <c r="A175" s="38"/>
      <c r="B175" s="130"/>
      <c r="D175" s="18"/>
    </row>
    <row r="176" spans="1:5" x14ac:dyDescent="0.2">
      <c r="A176" s="35" t="s">
        <v>203</v>
      </c>
      <c r="B176" s="97" t="s">
        <v>204</v>
      </c>
    </row>
    <row r="177" spans="1:2" x14ac:dyDescent="0.2">
      <c r="A177" s="48" t="s">
        <v>185</v>
      </c>
      <c r="B177" s="129">
        <v>10</v>
      </c>
    </row>
    <row r="178" spans="1:2" x14ac:dyDescent="0.2">
      <c r="A178" s="48" t="s">
        <v>149</v>
      </c>
      <c r="B178" s="82">
        <v>800</v>
      </c>
    </row>
    <row r="179" spans="1:2" x14ac:dyDescent="0.2">
      <c r="A179" s="48" t="s">
        <v>150</v>
      </c>
      <c r="B179" s="82">
        <v>0.6</v>
      </c>
    </row>
    <row r="180" spans="1:2" x14ac:dyDescent="0.2">
      <c r="A180" s="48" t="s">
        <v>186</v>
      </c>
      <c r="B180" s="82">
        <v>51</v>
      </c>
    </row>
    <row r="181" spans="1:2" x14ac:dyDescent="0.2">
      <c r="A181" s="48" t="s">
        <v>187</v>
      </c>
      <c r="B181" s="88">
        <f>B178*1.0936*8*60*B180*B179*0.4536/(840*B177)</f>
        <v>693.91282176000004</v>
      </c>
    </row>
    <row r="182" spans="1:2" x14ac:dyDescent="0.2">
      <c r="A182" s="48" t="s">
        <v>33</v>
      </c>
      <c r="B182" s="133">
        <f>0.5*51+3.5</f>
        <v>29</v>
      </c>
    </row>
    <row r="183" spans="1:2" x14ac:dyDescent="0.2">
      <c r="A183" s="48" t="s">
        <v>188</v>
      </c>
      <c r="B183" s="82">
        <f>B182*8*0.5*B179</f>
        <v>69.599999999999994</v>
      </c>
    </row>
    <row r="184" spans="1:2" x14ac:dyDescent="0.2">
      <c r="A184" s="38" t="s">
        <v>15</v>
      </c>
      <c r="B184" s="86">
        <f>B183/B181</f>
        <v>0.10030078392768506</v>
      </c>
    </row>
    <row r="185" spans="1:2" x14ac:dyDescent="0.2">
      <c r="A185" s="40" t="s">
        <v>11</v>
      </c>
      <c r="B185" s="91">
        <f>2*7.5*100/B181</f>
        <v>2.1616548260276951</v>
      </c>
    </row>
    <row r="186" spans="1:2" x14ac:dyDescent="0.2">
      <c r="A186" s="6"/>
    </row>
    <row r="187" spans="1:2" x14ac:dyDescent="0.2">
      <c r="A187" s="6" t="s">
        <v>180</v>
      </c>
    </row>
    <row r="188" spans="1:2" x14ac:dyDescent="0.2">
      <c r="A188" s="6" t="s">
        <v>181</v>
      </c>
      <c r="B188" s="18" t="s">
        <v>204</v>
      </c>
    </row>
    <row r="189" spans="1:2" x14ac:dyDescent="0.2">
      <c r="A189" s="23" t="s">
        <v>47</v>
      </c>
      <c r="B189" s="82">
        <v>10</v>
      </c>
    </row>
    <row r="190" spans="1:2" x14ac:dyDescent="0.2">
      <c r="A190" s="48" t="s">
        <v>191</v>
      </c>
      <c r="B190" s="82">
        <v>7000</v>
      </c>
    </row>
    <row r="191" spans="1:2" x14ac:dyDescent="0.2">
      <c r="A191" s="48" t="s">
        <v>48</v>
      </c>
      <c r="B191" s="82">
        <v>12.18</v>
      </c>
    </row>
    <row r="192" spans="1:2" x14ac:dyDescent="0.2">
      <c r="A192" s="38" t="s">
        <v>201</v>
      </c>
      <c r="B192" s="88">
        <f>7.2*B190*B194/(B189*B191)*2</f>
        <v>786.20689655172418</v>
      </c>
    </row>
    <row r="193" spans="1:2" x14ac:dyDescent="0.2">
      <c r="A193" s="23" t="s">
        <v>83</v>
      </c>
      <c r="B193" s="82">
        <v>192</v>
      </c>
    </row>
    <row r="194" spans="1:2" x14ac:dyDescent="0.2">
      <c r="A194" s="48" t="s">
        <v>84</v>
      </c>
      <c r="B194" s="82">
        <v>0.95</v>
      </c>
    </row>
    <row r="195" spans="1:2" x14ac:dyDescent="0.2">
      <c r="A195" s="23" t="s">
        <v>85</v>
      </c>
      <c r="B195" s="144">
        <f>B193*3*B192/1000</f>
        <v>452.85517241379318</v>
      </c>
    </row>
    <row r="196" spans="1:2" x14ac:dyDescent="0.2">
      <c r="A196" s="23" t="s">
        <v>86</v>
      </c>
      <c r="B196" s="135">
        <f>12+0.3125</f>
        <v>12.3125</v>
      </c>
    </row>
    <row r="197" spans="1:2" x14ac:dyDescent="0.2">
      <c r="A197" s="23" t="s">
        <v>87</v>
      </c>
      <c r="B197" s="88">
        <v>3.25</v>
      </c>
    </row>
    <row r="198" spans="1:2" x14ac:dyDescent="0.2">
      <c r="A198" s="23" t="s">
        <v>88</v>
      </c>
      <c r="B198" s="88">
        <f>SUM(B196:B197)</f>
        <v>15.5625</v>
      </c>
    </row>
    <row r="199" spans="1:2" x14ac:dyDescent="0.2">
      <c r="A199" s="38" t="s">
        <v>35</v>
      </c>
      <c r="B199" s="86">
        <f>B198*23.5/B195</f>
        <v>0.80758434987207584</v>
      </c>
    </row>
    <row r="200" spans="1:2" x14ac:dyDescent="0.2">
      <c r="A200" s="23" t="s">
        <v>89</v>
      </c>
      <c r="B200" s="82">
        <f>2*22.5</f>
        <v>45</v>
      </c>
    </row>
    <row r="201" spans="1:2" x14ac:dyDescent="0.2">
      <c r="A201" s="23" t="s">
        <v>124</v>
      </c>
      <c r="B201" s="88">
        <f>1*22.5</f>
        <v>22.5</v>
      </c>
    </row>
    <row r="202" spans="1:2" x14ac:dyDescent="0.2">
      <c r="A202" s="23" t="s">
        <v>183</v>
      </c>
      <c r="B202" s="90">
        <v>6</v>
      </c>
    </row>
    <row r="203" spans="1:2" x14ac:dyDescent="0.2">
      <c r="A203" s="48" t="s">
        <v>202</v>
      </c>
      <c r="B203" s="88">
        <f>SUM(B200:B201)</f>
        <v>67.5</v>
      </c>
    </row>
    <row r="204" spans="1:2" x14ac:dyDescent="0.2">
      <c r="A204" s="40" t="s">
        <v>31</v>
      </c>
      <c r="B204" s="94">
        <f>B203/6*100/B195</f>
        <v>2.484237938596491</v>
      </c>
    </row>
    <row r="206" spans="1:2" x14ac:dyDescent="0.2">
      <c r="A206" s="35" t="s">
        <v>201</v>
      </c>
      <c r="B206" s="131">
        <f>B192</f>
        <v>786.20689655172418</v>
      </c>
    </row>
    <row r="207" spans="1:2" x14ac:dyDescent="0.2">
      <c r="A207" s="38" t="s">
        <v>199</v>
      </c>
      <c r="B207" s="86">
        <f>(B185+B204)</f>
        <v>4.6458927646241861</v>
      </c>
    </row>
    <row r="208" spans="1:2" x14ac:dyDescent="0.2">
      <c r="A208" s="40" t="s">
        <v>200</v>
      </c>
      <c r="B208" s="91">
        <f>(B184+B199)</f>
        <v>0.90788513379976088</v>
      </c>
    </row>
  </sheetData>
  <mergeCells count="2">
    <mergeCell ref="A2:F2"/>
    <mergeCell ref="B44:C44"/>
  </mergeCells>
  <phoneticPr fontId="0" type="noConversion"/>
  <pageMargins left="0.75" right="0.75" top="0.28999999999999998" bottom="0.38" header="0.22" footer="0.35"/>
  <pageSetup scale="84" orientation="portrait" r:id="rId1"/>
  <headerFooter alignWithMargins="0"/>
  <rowBreaks count="2" manualBreakCount="2">
    <brk id="67" max="16383" man="1"/>
    <brk id="13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zoomScale="115" zoomScaleNormal="115" workbookViewId="0">
      <selection activeCell="B101" sqref="B101"/>
    </sheetView>
  </sheetViews>
  <sheetFormatPr defaultRowHeight="12.75" x14ac:dyDescent="0.2"/>
  <cols>
    <col min="1" max="1" width="22.140625" customWidth="1"/>
    <col min="2" max="2" width="14.140625" customWidth="1"/>
    <col min="3" max="3" width="10.28515625" customWidth="1"/>
    <col min="4" max="4" width="11.42578125" customWidth="1"/>
    <col min="5" max="5" width="9.5703125" bestFit="1" customWidth="1"/>
  </cols>
  <sheetData>
    <row r="1" spans="1:8" x14ac:dyDescent="0.2">
      <c r="A1" s="6" t="s">
        <v>142</v>
      </c>
    </row>
    <row r="2" spans="1:8" x14ac:dyDescent="0.2">
      <c r="A2" s="321" t="s">
        <v>103</v>
      </c>
      <c r="B2" s="322"/>
      <c r="C2" s="322"/>
      <c r="D2" s="322"/>
      <c r="E2" s="322"/>
      <c r="F2" s="323"/>
      <c r="G2" s="3"/>
      <c r="H2" s="3"/>
    </row>
    <row r="3" spans="1:8" x14ac:dyDescent="0.2">
      <c r="A3" s="28" t="s">
        <v>162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 x14ac:dyDescent="0.2">
      <c r="A4" s="1"/>
      <c r="B4" s="1" t="s">
        <v>2</v>
      </c>
      <c r="C4" s="1"/>
      <c r="D4" s="1">
        <v>100</v>
      </c>
      <c r="E4" s="4">
        <f>D4/$D$8</f>
        <v>1.1249743955827565</v>
      </c>
      <c r="F4" s="1"/>
      <c r="G4" s="3"/>
      <c r="H4" s="3"/>
    </row>
    <row r="5" spans="1:8" x14ac:dyDescent="0.2">
      <c r="A5" s="1"/>
      <c r="B5" s="1" t="s">
        <v>3</v>
      </c>
      <c r="C5" s="1">
        <v>4</v>
      </c>
      <c r="D5" s="1">
        <f>D4-C5</f>
        <v>96</v>
      </c>
      <c r="E5" s="4">
        <f>D5/$D$8</f>
        <v>1.0799754197594462</v>
      </c>
      <c r="F5" s="1"/>
      <c r="G5" s="3"/>
      <c r="H5" s="3"/>
    </row>
    <row r="6" spans="1:8" x14ac:dyDescent="0.2">
      <c r="A6" s="1"/>
      <c r="B6" s="1" t="s">
        <v>4</v>
      </c>
      <c r="C6" s="1">
        <v>6</v>
      </c>
      <c r="D6" s="5">
        <f>D5-D5*(C6/100)</f>
        <v>90.24</v>
      </c>
      <c r="E6" s="4">
        <f>D6/$D$8</f>
        <v>1.0151768945738795</v>
      </c>
      <c r="F6" s="1"/>
      <c r="G6" s="3"/>
      <c r="H6" s="3"/>
    </row>
    <row r="7" spans="1:8" x14ac:dyDescent="0.2">
      <c r="A7" s="1"/>
      <c r="B7" s="1" t="s">
        <v>5</v>
      </c>
      <c r="C7" s="1">
        <v>0.5</v>
      </c>
      <c r="D7" s="5">
        <f>D6-D6*(C7/100)</f>
        <v>89.788799999999995</v>
      </c>
      <c r="E7" s="4">
        <f>D7/$D$8</f>
        <v>1.0101010101010099</v>
      </c>
      <c r="F7" s="1"/>
      <c r="G7" s="3"/>
      <c r="H7" s="3"/>
    </row>
    <row r="8" spans="1:8" x14ac:dyDescent="0.2">
      <c r="A8" s="1"/>
      <c r="B8" s="1" t="s">
        <v>163</v>
      </c>
      <c r="C8" s="34">
        <v>1</v>
      </c>
      <c r="D8" s="5">
        <f>D7-D7*(C8/100)</f>
        <v>88.890912</v>
      </c>
      <c r="E8" s="4">
        <f>D8/$D$8</f>
        <v>1</v>
      </c>
      <c r="F8" s="1"/>
      <c r="G8" s="102"/>
      <c r="H8" s="102"/>
    </row>
    <row r="11" spans="1:8" x14ac:dyDescent="0.2">
      <c r="A11" s="35" t="s">
        <v>2</v>
      </c>
      <c r="B11" s="36"/>
      <c r="C11" s="35" t="s">
        <v>104</v>
      </c>
      <c r="D11" s="36"/>
      <c r="E11" s="21" t="s">
        <v>111</v>
      </c>
      <c r="F11" s="36">
        <f>2*22.5</f>
        <v>45</v>
      </c>
    </row>
    <row r="12" spans="1:8" x14ac:dyDescent="0.2">
      <c r="A12" s="23" t="s">
        <v>9</v>
      </c>
      <c r="B12" s="37">
        <f>5*8</f>
        <v>40</v>
      </c>
      <c r="C12" s="23" t="s">
        <v>105</v>
      </c>
      <c r="D12" s="37">
        <v>26.25</v>
      </c>
      <c r="E12" s="23" t="s">
        <v>112</v>
      </c>
      <c r="F12" s="37">
        <f>1*22.5</f>
        <v>22.5</v>
      </c>
    </row>
    <row r="13" spans="1:8" x14ac:dyDescent="0.2">
      <c r="A13" s="23" t="s">
        <v>10</v>
      </c>
      <c r="B13" s="37">
        <v>11500</v>
      </c>
      <c r="C13" s="23" t="s">
        <v>106</v>
      </c>
      <c r="D13" s="37">
        <v>6</v>
      </c>
      <c r="E13" s="23" t="s">
        <v>113</v>
      </c>
      <c r="F13" s="37">
        <v>22.5</v>
      </c>
    </row>
    <row r="14" spans="1:8" x14ac:dyDescent="0.2">
      <c r="A14" s="38" t="s">
        <v>11</v>
      </c>
      <c r="B14" s="39">
        <f>B12*100*E4/B13</f>
        <v>0.3912954419418283</v>
      </c>
      <c r="C14" s="23" t="s">
        <v>107</v>
      </c>
      <c r="D14" s="37">
        <v>0.85</v>
      </c>
      <c r="E14" s="23" t="s">
        <v>114</v>
      </c>
      <c r="F14" s="37">
        <v>22.5</v>
      </c>
    </row>
    <row r="15" spans="1:8" x14ac:dyDescent="0.2">
      <c r="A15" s="23" t="s">
        <v>12</v>
      </c>
      <c r="B15" s="37">
        <f>15*8</f>
        <v>120</v>
      </c>
      <c r="C15" s="23" t="s">
        <v>108</v>
      </c>
      <c r="D15" s="50">
        <f>2*60*D12*D14/D13</f>
        <v>446.25</v>
      </c>
      <c r="E15" s="23" t="s">
        <v>115</v>
      </c>
      <c r="F15" s="37">
        <f>3*8</f>
        <v>24</v>
      </c>
    </row>
    <row r="16" spans="1:8" x14ac:dyDescent="0.2">
      <c r="A16" s="23" t="s">
        <v>10</v>
      </c>
      <c r="B16" s="37">
        <v>11500</v>
      </c>
      <c r="C16" s="23" t="s">
        <v>109</v>
      </c>
      <c r="D16" s="50">
        <f>B27*D15</f>
        <v>7394.3625000000002</v>
      </c>
      <c r="E16" s="23"/>
      <c r="F16" s="43">
        <f>SUM(F11:F15)</f>
        <v>136.5</v>
      </c>
    </row>
    <row r="17" spans="1:6" x14ac:dyDescent="0.2">
      <c r="A17" s="38" t="s">
        <v>11</v>
      </c>
      <c r="B17" s="39">
        <f>B15*100*E4/B16</f>
        <v>1.173886325825485</v>
      </c>
      <c r="C17" s="23" t="s">
        <v>33</v>
      </c>
      <c r="D17" s="142">
        <v>94.75</v>
      </c>
      <c r="E17" s="40" t="s">
        <v>11</v>
      </c>
      <c r="F17" s="41">
        <f>F16*100*E4/D16</f>
        <v>2.0767037725976545</v>
      </c>
    </row>
    <row r="18" spans="1:6" x14ac:dyDescent="0.2">
      <c r="A18" s="23" t="s">
        <v>13</v>
      </c>
      <c r="B18" s="142">
        <v>5.25</v>
      </c>
      <c r="C18" s="23" t="s">
        <v>110</v>
      </c>
      <c r="D18" s="37">
        <f>D17*0.5*0.9</f>
        <v>42.637500000000003</v>
      </c>
    </row>
    <row r="19" spans="1:6" x14ac:dyDescent="0.2">
      <c r="A19" s="23" t="s">
        <v>14</v>
      </c>
      <c r="B19" s="142">
        <v>500</v>
      </c>
      <c r="C19" s="23"/>
      <c r="D19" s="37"/>
    </row>
    <row r="20" spans="1:6" x14ac:dyDescent="0.2">
      <c r="A20" s="40" t="s">
        <v>15</v>
      </c>
      <c r="B20" s="41">
        <f>B18*0.5*E4/B19</f>
        <v>5.9061155768094708E-3</v>
      </c>
      <c r="C20" s="40" t="s">
        <v>15</v>
      </c>
      <c r="D20" s="41">
        <f>D18*B28*E5/D16</f>
        <v>0.14011588816478113</v>
      </c>
    </row>
    <row r="21" spans="1:6" x14ac:dyDescent="0.2">
      <c r="A21" s="35" t="s">
        <v>159</v>
      </c>
      <c r="B21" s="47" t="s">
        <v>146</v>
      </c>
      <c r="C21" s="6"/>
      <c r="D21" s="6"/>
    </row>
    <row r="22" spans="1:6" x14ac:dyDescent="0.2">
      <c r="A22" s="48" t="s">
        <v>16</v>
      </c>
      <c r="B22" s="37">
        <v>0.14000000000000001</v>
      </c>
      <c r="D22" s="3"/>
      <c r="E22" s="6"/>
      <c r="F22" s="6"/>
    </row>
    <row r="23" spans="1:6" x14ac:dyDescent="0.2">
      <c r="A23" s="48" t="s">
        <v>17</v>
      </c>
      <c r="B23" s="37">
        <v>130</v>
      </c>
      <c r="D23" s="3"/>
    </row>
    <row r="24" spans="1:6" x14ac:dyDescent="0.2">
      <c r="A24" s="48" t="s">
        <v>18</v>
      </c>
      <c r="B24" s="37">
        <v>0.85</v>
      </c>
      <c r="D24" s="3"/>
    </row>
    <row r="25" spans="1:6" x14ac:dyDescent="0.2">
      <c r="A25" s="48" t="s">
        <v>19</v>
      </c>
      <c r="B25" s="49">
        <f>B23*1.0936*60*B24*0.4536/(840*B22)</f>
        <v>27.966476571428565</v>
      </c>
      <c r="C25" s="9"/>
      <c r="D25" s="25"/>
    </row>
    <row r="26" spans="1:6" x14ac:dyDescent="0.2">
      <c r="A26" s="48" t="s">
        <v>20</v>
      </c>
      <c r="B26" s="37">
        <v>7</v>
      </c>
      <c r="D26" s="3"/>
      <c r="E26" s="10"/>
      <c r="F26" s="10"/>
    </row>
    <row r="27" spans="1:6" x14ac:dyDescent="0.2">
      <c r="A27" s="48" t="s">
        <v>21</v>
      </c>
      <c r="B27" s="143">
        <v>16.57</v>
      </c>
      <c r="C27" s="151"/>
      <c r="D27" s="154"/>
    </row>
    <row r="28" spans="1:6" x14ac:dyDescent="0.2">
      <c r="A28" s="48" t="s">
        <v>22</v>
      </c>
      <c r="B28" s="37">
        <v>22.5</v>
      </c>
      <c r="D28" s="3"/>
    </row>
    <row r="29" spans="1:6" x14ac:dyDescent="0.2">
      <c r="A29" s="48" t="s">
        <v>23</v>
      </c>
      <c r="B29" s="50">
        <f>B28*B25*B26</f>
        <v>4404.7200599999987</v>
      </c>
      <c r="C29" s="11"/>
      <c r="D29" s="42"/>
      <c r="E29" s="7"/>
      <c r="F29" s="7"/>
    </row>
    <row r="30" spans="1:6" x14ac:dyDescent="0.2">
      <c r="A30" s="48" t="s">
        <v>25</v>
      </c>
      <c r="B30" s="49">
        <v>22.5</v>
      </c>
      <c r="C30" s="9"/>
      <c r="D30" s="25"/>
    </row>
    <row r="31" spans="1:6" x14ac:dyDescent="0.2">
      <c r="A31" s="38" t="s">
        <v>102</v>
      </c>
      <c r="B31" s="76">
        <f>B30*100*E6/B29</f>
        <v>0.51856825897608338</v>
      </c>
      <c r="C31" s="29"/>
      <c r="D31" s="139"/>
    </row>
    <row r="32" spans="1:6" x14ac:dyDescent="0.2">
      <c r="A32" s="48" t="s">
        <v>26</v>
      </c>
      <c r="B32" s="49">
        <f>B27*0.55*B24</f>
        <v>7.7464750000000002</v>
      </c>
      <c r="D32" s="25"/>
    </row>
    <row r="33" spans="1:5" x14ac:dyDescent="0.2">
      <c r="A33" s="40" t="s">
        <v>15</v>
      </c>
      <c r="B33" s="41">
        <f>B32*B26*E6/B29*B28</f>
        <v>0.28119532377662287</v>
      </c>
      <c r="D33" s="138"/>
    </row>
    <row r="34" spans="1:5" x14ac:dyDescent="0.2">
      <c r="A34" s="35" t="s">
        <v>5</v>
      </c>
      <c r="B34" s="62" t="s">
        <v>28</v>
      </c>
      <c r="D34" s="145"/>
    </row>
    <row r="35" spans="1:5" x14ac:dyDescent="0.2">
      <c r="A35" s="23" t="s">
        <v>16</v>
      </c>
      <c r="B35" s="108">
        <v>0.14000000000000001</v>
      </c>
      <c r="C35" s="27"/>
      <c r="D35" s="145"/>
      <c r="E35" s="10"/>
    </row>
    <row r="36" spans="1:5" x14ac:dyDescent="0.2">
      <c r="A36" s="23" t="s">
        <v>17</v>
      </c>
      <c r="B36" s="108">
        <v>450</v>
      </c>
      <c r="C36" s="27"/>
      <c r="D36" s="29"/>
      <c r="E36" s="11"/>
    </row>
    <row r="37" spans="1:5" x14ac:dyDescent="0.2">
      <c r="A37" s="48" t="s">
        <v>18</v>
      </c>
      <c r="B37" s="108">
        <v>0.85</v>
      </c>
      <c r="C37" s="27"/>
      <c r="D37" s="29"/>
    </row>
    <row r="38" spans="1:5" x14ac:dyDescent="0.2">
      <c r="A38" s="48" t="s">
        <v>29</v>
      </c>
      <c r="B38" s="109">
        <f>24*60*B36*1.0936*B37*0.4536/(840*B35)</f>
        <v>2323.3688228571423</v>
      </c>
      <c r="C38" s="30"/>
      <c r="D38" s="7"/>
    </row>
    <row r="39" spans="1:5" x14ac:dyDescent="0.2">
      <c r="A39" s="48" t="s">
        <v>30</v>
      </c>
      <c r="B39" s="108">
        <f>22.5/2</f>
        <v>11.25</v>
      </c>
      <c r="C39" s="27"/>
      <c r="D39" s="29"/>
      <c r="E39" s="7"/>
    </row>
    <row r="40" spans="1:5" x14ac:dyDescent="0.2">
      <c r="A40" s="38" t="s">
        <v>31</v>
      </c>
      <c r="B40" s="110">
        <f>B39*100*E7/B38</f>
        <v>0.4891016980103069</v>
      </c>
      <c r="C40" s="31"/>
      <c r="D40" s="29"/>
    </row>
    <row r="41" spans="1:5" x14ac:dyDescent="0.2">
      <c r="A41" s="48" t="s">
        <v>33</v>
      </c>
      <c r="B41" s="111">
        <v>12.33</v>
      </c>
      <c r="C41" s="15"/>
      <c r="D41" s="7"/>
    </row>
    <row r="42" spans="1:5" x14ac:dyDescent="0.2">
      <c r="A42" s="48" t="s">
        <v>34</v>
      </c>
      <c r="B42" s="112">
        <f>B41*0.5*B37*24</f>
        <v>125.76599999999999</v>
      </c>
      <c r="C42" s="32"/>
    </row>
    <row r="43" spans="1:5" x14ac:dyDescent="0.2">
      <c r="A43" s="40" t="s">
        <v>35</v>
      </c>
      <c r="B43" s="113">
        <f>B42*E7/B38</f>
        <v>5.4677657023968221E-2</v>
      </c>
      <c r="C43" s="33"/>
    </row>
    <row r="44" spans="1:5" x14ac:dyDescent="0.2">
      <c r="A44" s="6" t="s">
        <v>164</v>
      </c>
      <c r="B44" s="7">
        <f>B14+B17+F17+B31+B40</f>
        <v>4.6495554973513578</v>
      </c>
      <c r="C44" s="7"/>
      <c r="D44" s="7"/>
      <c r="E44" s="7"/>
    </row>
    <row r="45" spans="1:5" x14ac:dyDescent="0.2">
      <c r="A45" s="6" t="s">
        <v>165</v>
      </c>
      <c r="B45" s="7">
        <f>B20+D20+B33+B43</f>
        <v>0.48189498454218171</v>
      </c>
      <c r="C45" s="7"/>
      <c r="D45" s="7"/>
      <c r="E45" s="7"/>
    </row>
    <row r="46" spans="1:5" x14ac:dyDescent="0.2">
      <c r="A46" s="35" t="s">
        <v>166</v>
      </c>
      <c r="B46" s="114"/>
    </row>
    <row r="47" spans="1:5" x14ac:dyDescent="0.2">
      <c r="A47" s="38" t="s">
        <v>161</v>
      </c>
      <c r="B47" s="106" t="s">
        <v>205</v>
      </c>
      <c r="C47" s="18"/>
    </row>
    <row r="48" spans="1:5" x14ac:dyDescent="0.2">
      <c r="A48" s="48" t="s">
        <v>47</v>
      </c>
      <c r="B48" s="82">
        <v>32</v>
      </c>
    </row>
    <row r="49" spans="1:4" x14ac:dyDescent="0.2">
      <c r="A49" s="48" t="s">
        <v>48</v>
      </c>
      <c r="B49" s="82">
        <v>28</v>
      </c>
    </row>
    <row r="50" spans="1:4" x14ac:dyDescent="0.2">
      <c r="A50" s="48" t="s">
        <v>38</v>
      </c>
      <c r="B50" s="82">
        <v>110000</v>
      </c>
    </row>
    <row r="51" spans="1:4" x14ac:dyDescent="0.2">
      <c r="A51" s="48" t="s">
        <v>18</v>
      </c>
      <c r="B51" s="82">
        <v>0.95699999999999996</v>
      </c>
    </row>
    <row r="52" spans="1:4" x14ac:dyDescent="0.2">
      <c r="A52" s="38" t="s">
        <v>50</v>
      </c>
      <c r="B52" s="83">
        <f>7.2*B50*B51/(B48*B49)</f>
        <v>845.91964285714289</v>
      </c>
      <c r="C52" s="16"/>
    </row>
    <row r="53" spans="1:4" x14ac:dyDescent="0.2">
      <c r="A53" s="38" t="s">
        <v>169</v>
      </c>
      <c r="B53" s="112">
        <v>316</v>
      </c>
      <c r="C53" s="16"/>
    </row>
    <row r="54" spans="1:4" x14ac:dyDescent="0.2">
      <c r="A54" s="48" t="s">
        <v>167</v>
      </c>
      <c r="B54" s="150">
        <v>75</v>
      </c>
      <c r="C54" s="153"/>
    </row>
    <row r="55" spans="1:4" x14ac:dyDescent="0.2">
      <c r="A55" s="38" t="s">
        <v>168</v>
      </c>
      <c r="B55" s="86">
        <f>B54/(B53*B52/1000)*8</f>
        <v>2.2445798407069781</v>
      </c>
      <c r="C55" s="7"/>
    </row>
    <row r="56" spans="1:4" x14ac:dyDescent="0.2">
      <c r="A56" s="48" t="s">
        <v>54</v>
      </c>
      <c r="B56" s="82"/>
    </row>
    <row r="57" spans="1:4" x14ac:dyDescent="0.2">
      <c r="A57" s="48" t="s">
        <v>55</v>
      </c>
      <c r="B57" s="82">
        <v>100</v>
      </c>
    </row>
    <row r="58" spans="1:4" x14ac:dyDescent="0.2">
      <c r="A58" s="48" t="s">
        <v>57</v>
      </c>
      <c r="B58" s="82">
        <v>780</v>
      </c>
    </row>
    <row r="59" spans="1:4" x14ac:dyDescent="0.2">
      <c r="A59" s="48" t="s">
        <v>59</v>
      </c>
      <c r="B59" s="82">
        <f>SUM(B57:B58)</f>
        <v>880</v>
      </c>
    </row>
    <row r="60" spans="1:4" x14ac:dyDescent="0.2">
      <c r="A60" s="48" t="s">
        <v>170</v>
      </c>
      <c r="B60" s="82">
        <v>1264</v>
      </c>
    </row>
    <row r="61" spans="1:4" x14ac:dyDescent="0.2">
      <c r="A61" s="48" t="s">
        <v>61</v>
      </c>
      <c r="B61" s="117">
        <v>0.94199999999999995</v>
      </c>
      <c r="C61" s="155"/>
      <c r="D61" s="153"/>
    </row>
    <row r="62" spans="1:4" x14ac:dyDescent="0.2">
      <c r="A62" s="48" t="s">
        <v>171</v>
      </c>
      <c r="B62" s="88">
        <f>B59*1000/(B60*3*B61)</f>
        <v>246.3561683105342</v>
      </c>
      <c r="C62" s="9"/>
    </row>
    <row r="63" spans="1:4" x14ac:dyDescent="0.2">
      <c r="A63" s="38" t="s">
        <v>64</v>
      </c>
      <c r="B63" s="86">
        <f>B62/B52</f>
        <v>0.29122880688578395</v>
      </c>
      <c r="C63" s="7"/>
    </row>
    <row r="64" spans="1:4" x14ac:dyDescent="0.2">
      <c r="A64" s="48" t="s">
        <v>174</v>
      </c>
      <c r="B64" s="115">
        <f>8*22.5</f>
        <v>180</v>
      </c>
      <c r="C64" s="7"/>
    </row>
    <row r="65" spans="1:3" x14ac:dyDescent="0.2">
      <c r="A65" s="48" t="s">
        <v>172</v>
      </c>
      <c r="B65" s="82">
        <f>2*8</f>
        <v>16</v>
      </c>
    </row>
    <row r="66" spans="1:3" x14ac:dyDescent="0.2">
      <c r="A66" s="48" t="s">
        <v>175</v>
      </c>
      <c r="B66" s="82">
        <f>2*8</f>
        <v>16</v>
      </c>
    </row>
    <row r="67" spans="1:3" x14ac:dyDescent="0.2">
      <c r="A67" s="48" t="s">
        <v>42</v>
      </c>
      <c r="B67" s="82">
        <f>1*22.5</f>
        <v>22.5</v>
      </c>
    </row>
    <row r="68" spans="1:3" x14ac:dyDescent="0.2">
      <c r="A68" s="48" t="s">
        <v>173</v>
      </c>
      <c r="B68" s="82">
        <f>1*22.5</f>
        <v>22.5</v>
      </c>
    </row>
    <row r="69" spans="1:3" x14ac:dyDescent="0.2">
      <c r="A69" s="48" t="s">
        <v>41</v>
      </c>
      <c r="B69" s="82">
        <f>1*22.5</f>
        <v>22.5</v>
      </c>
    </row>
    <row r="70" spans="1:3" x14ac:dyDescent="0.2">
      <c r="A70" s="48" t="s">
        <v>116</v>
      </c>
      <c r="B70" s="82">
        <f>1*22.5</f>
        <v>22.5</v>
      </c>
    </row>
    <row r="71" spans="1:3" x14ac:dyDescent="0.2">
      <c r="A71" s="48" t="s">
        <v>76</v>
      </c>
      <c r="B71" s="90">
        <f>58*0.2</f>
        <v>11.600000000000001</v>
      </c>
      <c r="C71" s="11"/>
    </row>
    <row r="72" spans="1:3" x14ac:dyDescent="0.2">
      <c r="A72" s="48" t="s">
        <v>122</v>
      </c>
      <c r="B72" s="90">
        <f>9*8*0.2</f>
        <v>14.4</v>
      </c>
      <c r="C72" s="11"/>
    </row>
    <row r="73" spans="1:3" x14ac:dyDescent="0.2">
      <c r="A73" s="48" t="s">
        <v>121</v>
      </c>
      <c r="B73" s="90">
        <f>1*8*0.2</f>
        <v>1.6</v>
      </c>
      <c r="C73" s="11"/>
    </row>
    <row r="74" spans="1:3" x14ac:dyDescent="0.2">
      <c r="A74" s="48" t="s">
        <v>77</v>
      </c>
      <c r="B74" s="90">
        <f>1*8*0.2</f>
        <v>1.6</v>
      </c>
      <c r="C74" s="11"/>
    </row>
    <row r="75" spans="1:3" x14ac:dyDescent="0.2">
      <c r="A75" s="48" t="s">
        <v>78</v>
      </c>
      <c r="B75" s="90">
        <f>2*8*0.2</f>
        <v>3.2</v>
      </c>
      <c r="C75" s="11"/>
    </row>
    <row r="76" spans="1:3" x14ac:dyDescent="0.2">
      <c r="A76" s="48" t="s">
        <v>79</v>
      </c>
      <c r="B76" s="90">
        <f>4*8*0.2</f>
        <v>6.4</v>
      </c>
      <c r="C76" s="11"/>
    </row>
    <row r="77" spans="1:3" x14ac:dyDescent="0.2">
      <c r="A77" s="48" t="s">
        <v>176</v>
      </c>
      <c r="B77" s="90">
        <f>SUM(B64:B76)</f>
        <v>340.8</v>
      </c>
      <c r="C77" s="9"/>
    </row>
    <row r="78" spans="1:3" x14ac:dyDescent="0.2">
      <c r="A78" s="48" t="s">
        <v>177</v>
      </c>
      <c r="B78" s="88">
        <f>B77*1000/(B60*3*B61)</f>
        <v>95.407025182079607</v>
      </c>
      <c r="C78" s="7"/>
    </row>
    <row r="79" spans="1:3" x14ac:dyDescent="0.2">
      <c r="A79" s="40" t="s">
        <v>82</v>
      </c>
      <c r="B79" s="91">
        <f>B78*100*$E$8/B52</f>
        <v>11.278497430303998</v>
      </c>
    </row>
    <row r="81" spans="1:3" x14ac:dyDescent="0.2">
      <c r="A81" s="35" t="s">
        <v>92</v>
      </c>
      <c r="B81" s="62"/>
    </row>
    <row r="82" spans="1:3" x14ac:dyDescent="0.2">
      <c r="A82" s="23" t="s">
        <v>93</v>
      </c>
      <c r="B82" s="82"/>
    </row>
    <row r="83" spans="1:3" x14ac:dyDescent="0.2">
      <c r="A83" s="23" t="s">
        <v>140</v>
      </c>
      <c r="B83" s="82"/>
    </row>
    <row r="84" spans="1:3" x14ac:dyDescent="0.2">
      <c r="A84" s="23" t="s">
        <v>102</v>
      </c>
      <c r="B84" s="82"/>
    </row>
    <row r="85" spans="1:3" x14ac:dyDescent="0.2">
      <c r="A85" s="23" t="s">
        <v>206</v>
      </c>
      <c r="B85" s="82">
        <v>60</v>
      </c>
    </row>
    <row r="86" spans="1:3" x14ac:dyDescent="0.2">
      <c r="A86" s="23" t="s">
        <v>207</v>
      </c>
      <c r="B86" s="82">
        <v>20</v>
      </c>
      <c r="C86" s="17"/>
    </row>
    <row r="87" spans="1:3" x14ac:dyDescent="0.2">
      <c r="A87" s="38" t="s">
        <v>102</v>
      </c>
      <c r="B87" s="86">
        <f>8*100/B85/B86</f>
        <v>0.66666666666666674</v>
      </c>
      <c r="C87" s="11"/>
    </row>
    <row r="88" spans="1:3" x14ac:dyDescent="0.2">
      <c r="A88" s="23" t="s">
        <v>129</v>
      </c>
      <c r="B88" s="90">
        <v>3200</v>
      </c>
      <c r="C88" s="9"/>
    </row>
    <row r="89" spans="1:3" x14ac:dyDescent="0.2">
      <c r="A89" s="23" t="s">
        <v>130</v>
      </c>
      <c r="B89" s="88">
        <f>3*8</f>
        <v>24</v>
      </c>
      <c r="C89" s="14"/>
    </row>
    <row r="90" spans="1:3" x14ac:dyDescent="0.2">
      <c r="A90" s="38" t="s">
        <v>102</v>
      </c>
      <c r="B90" s="89">
        <f>B89*100/B88</f>
        <v>0.75</v>
      </c>
      <c r="C90" s="11"/>
    </row>
    <row r="91" spans="1:3" x14ac:dyDescent="0.2">
      <c r="A91" s="23" t="s">
        <v>132</v>
      </c>
      <c r="B91" s="90">
        <v>12000</v>
      </c>
      <c r="C91" s="11"/>
    </row>
    <row r="92" spans="1:3" x14ac:dyDescent="0.2">
      <c r="A92" s="23" t="s">
        <v>130</v>
      </c>
      <c r="B92" s="90">
        <f>4*8</f>
        <v>32</v>
      </c>
      <c r="C92" s="17"/>
    </row>
    <row r="93" spans="1:3" x14ac:dyDescent="0.2">
      <c r="A93" s="23" t="s">
        <v>31</v>
      </c>
      <c r="B93" s="85">
        <f>B92*100/B91</f>
        <v>0.26666666666666666</v>
      </c>
      <c r="C93" s="12"/>
    </row>
    <row r="94" spans="1:3" x14ac:dyDescent="0.2">
      <c r="A94" s="38" t="s">
        <v>31</v>
      </c>
      <c r="B94" s="89">
        <f>B84+B87+B90+B93</f>
        <v>1.6833333333333333</v>
      </c>
      <c r="C94" s="151"/>
    </row>
    <row r="96" spans="1:3" x14ac:dyDescent="0.2">
      <c r="B96" s="9"/>
    </row>
    <row r="97" spans="1:3" x14ac:dyDescent="0.2">
      <c r="A97" s="35" t="s">
        <v>94</v>
      </c>
      <c r="B97" s="97" t="str">
        <f>B47</f>
        <v>32s O.E</v>
      </c>
      <c r="C97" s="151"/>
    </row>
    <row r="98" spans="1:3" x14ac:dyDescent="0.2">
      <c r="A98" s="38" t="s">
        <v>95</v>
      </c>
      <c r="B98" s="98">
        <f>B52</f>
        <v>845.91964285714289</v>
      </c>
      <c r="C98" s="9"/>
    </row>
    <row r="99" spans="1:3" x14ac:dyDescent="0.2">
      <c r="A99" s="38" t="s">
        <v>96</v>
      </c>
      <c r="B99" s="99">
        <f>B55</f>
        <v>2.2445798407069781</v>
      </c>
      <c r="C99" s="11"/>
    </row>
    <row r="100" spans="1:3" x14ac:dyDescent="0.2">
      <c r="A100" s="38" t="s">
        <v>64</v>
      </c>
      <c r="B100" s="99">
        <f>B63</f>
        <v>0.29122880688578395</v>
      </c>
    </row>
    <row r="101" spans="1:3" x14ac:dyDescent="0.2">
      <c r="A101" s="38" t="s">
        <v>97</v>
      </c>
      <c r="B101" s="99">
        <f>B45</f>
        <v>0.48189498454218171</v>
      </c>
      <c r="C101" s="7"/>
    </row>
    <row r="102" spans="1:3" x14ac:dyDescent="0.2">
      <c r="A102" s="38" t="s">
        <v>98</v>
      </c>
      <c r="B102" s="99">
        <f>B44+B79</f>
        <v>15.928052927655356</v>
      </c>
    </row>
    <row r="103" spans="1:3" x14ac:dyDescent="0.2">
      <c r="A103" s="38" t="s">
        <v>100</v>
      </c>
      <c r="B103" s="99">
        <f>B94</f>
        <v>1.6833333333333333</v>
      </c>
      <c r="C103" s="9"/>
    </row>
    <row r="104" spans="1:3" x14ac:dyDescent="0.2">
      <c r="A104" s="40" t="s">
        <v>141</v>
      </c>
      <c r="B104" s="100"/>
      <c r="C104" s="18"/>
    </row>
    <row r="105" spans="1:3" x14ac:dyDescent="0.2">
      <c r="A105" s="6"/>
      <c r="B105" s="13"/>
      <c r="C105" s="116"/>
    </row>
    <row r="106" spans="1:3" x14ac:dyDescent="0.2">
      <c r="A106" s="6"/>
      <c r="C106" s="96"/>
    </row>
    <row r="107" spans="1:3" x14ac:dyDescent="0.2">
      <c r="A107" s="6"/>
      <c r="B107" s="18"/>
      <c r="C107" s="96"/>
    </row>
    <row r="108" spans="1:3" x14ac:dyDescent="0.2">
      <c r="A108" s="6"/>
      <c r="B108" s="19"/>
      <c r="C108" s="96"/>
    </row>
    <row r="109" spans="1:3" x14ac:dyDescent="0.2">
      <c r="A109" s="6"/>
      <c r="B109" s="20"/>
      <c r="C109" s="96"/>
    </row>
    <row r="110" spans="1:3" x14ac:dyDescent="0.2">
      <c r="C110" s="96"/>
    </row>
    <row r="111" spans="1:3" x14ac:dyDescent="0.2">
      <c r="C111" s="96"/>
    </row>
    <row r="112" spans="1:3" x14ac:dyDescent="0.2">
      <c r="C112" s="46"/>
    </row>
  </sheetData>
  <mergeCells count="1">
    <mergeCell ref="A2:F2"/>
  </mergeCells>
  <phoneticPr fontId="0" type="noConversion"/>
  <pageMargins left="0.75" right="0.75" top="1" bottom="1" header="0.5" footer="0.5"/>
  <pageSetup scale="86" orientation="portrait" r:id="rId1"/>
  <headerFooter alignWithMargins="0"/>
  <rowBreaks count="2" manualBreakCount="2">
    <brk id="45" max="16383" man="1"/>
    <brk id="10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topLeftCell="A92" zoomScale="115" zoomScaleNormal="115" workbookViewId="0">
      <selection activeCell="I118" sqref="I118"/>
    </sheetView>
  </sheetViews>
  <sheetFormatPr defaultRowHeight="12.75" x14ac:dyDescent="0.2"/>
  <cols>
    <col min="1" max="1" width="22.140625" customWidth="1"/>
    <col min="2" max="2" width="14.140625" customWidth="1"/>
    <col min="3" max="3" width="13.140625" customWidth="1"/>
    <col min="4" max="4" width="11.42578125" customWidth="1"/>
    <col min="5" max="5" width="9.5703125" bestFit="1" customWidth="1"/>
  </cols>
  <sheetData>
    <row r="1" spans="1:8" x14ac:dyDescent="0.2">
      <c r="A1" s="6" t="s">
        <v>142</v>
      </c>
    </row>
    <row r="2" spans="1:8" x14ac:dyDescent="0.2">
      <c r="A2" s="321" t="s">
        <v>103</v>
      </c>
      <c r="B2" s="322"/>
      <c r="C2" s="322"/>
      <c r="D2" s="322"/>
      <c r="E2" s="322"/>
      <c r="F2" s="323"/>
      <c r="G2" s="3"/>
      <c r="H2" s="3"/>
    </row>
    <row r="3" spans="1:8" x14ac:dyDescent="0.2">
      <c r="A3" s="28" t="s">
        <v>162</v>
      </c>
      <c r="B3" s="1"/>
      <c r="C3" s="1" t="s">
        <v>0</v>
      </c>
      <c r="D3" s="1"/>
      <c r="E3" s="2" t="s">
        <v>1</v>
      </c>
      <c r="F3" s="1"/>
      <c r="G3" s="3"/>
      <c r="H3" s="3"/>
    </row>
    <row r="4" spans="1:8" x14ac:dyDescent="0.2">
      <c r="A4" s="1"/>
      <c r="B4" s="1" t="s">
        <v>2</v>
      </c>
      <c r="C4" s="1"/>
      <c r="D4" s="1">
        <v>100</v>
      </c>
      <c r="E4" s="4">
        <f>D4/$D$8</f>
        <v>1.1249743955827565</v>
      </c>
      <c r="F4" s="1"/>
      <c r="G4" s="3"/>
      <c r="H4" s="3"/>
    </row>
    <row r="5" spans="1:8" x14ac:dyDescent="0.2">
      <c r="A5" s="1"/>
      <c r="B5" s="1" t="s">
        <v>3</v>
      </c>
      <c r="C5" s="1">
        <v>4</v>
      </c>
      <c r="D5" s="1">
        <f>D4-C5</f>
        <v>96</v>
      </c>
      <c r="E5" s="4">
        <f>D5/$D$8</f>
        <v>1.0799754197594462</v>
      </c>
      <c r="F5" s="1"/>
      <c r="G5" s="3"/>
      <c r="H5" s="3"/>
    </row>
    <row r="6" spans="1:8" x14ac:dyDescent="0.2">
      <c r="A6" s="1"/>
      <c r="B6" s="1" t="s">
        <v>4</v>
      </c>
      <c r="C6" s="1">
        <v>6</v>
      </c>
      <c r="D6" s="5">
        <f>D5-D5*(C6/100)</f>
        <v>90.24</v>
      </c>
      <c r="E6" s="4">
        <f>D6/$D$8</f>
        <v>1.0151768945738795</v>
      </c>
      <c r="F6" s="1"/>
      <c r="G6" s="3"/>
      <c r="H6" s="3"/>
    </row>
    <row r="7" spans="1:8" x14ac:dyDescent="0.2">
      <c r="A7" s="1"/>
      <c r="B7" s="1" t="s">
        <v>5</v>
      </c>
      <c r="C7" s="1">
        <v>0.5</v>
      </c>
      <c r="D7" s="5">
        <f>D6-D6*(C7/100)</f>
        <v>89.788799999999995</v>
      </c>
      <c r="E7" s="4">
        <f>D7/$D$8</f>
        <v>1.0101010101010099</v>
      </c>
      <c r="F7" s="1"/>
      <c r="G7" s="3"/>
      <c r="H7" s="3"/>
    </row>
    <row r="8" spans="1:8" x14ac:dyDescent="0.2">
      <c r="A8" s="1"/>
      <c r="B8" s="1" t="s">
        <v>163</v>
      </c>
      <c r="C8" s="34">
        <v>1</v>
      </c>
      <c r="D8" s="5">
        <f>D7-D7*(C8/100)</f>
        <v>88.890912</v>
      </c>
      <c r="E8" s="4">
        <f>D8/$D$8</f>
        <v>1</v>
      </c>
      <c r="F8" s="1"/>
      <c r="G8" s="102"/>
      <c r="H8" s="102"/>
    </row>
    <row r="11" spans="1:8" x14ac:dyDescent="0.2">
      <c r="A11" s="35" t="s">
        <v>2</v>
      </c>
      <c r="B11" s="36"/>
      <c r="C11" s="35" t="s">
        <v>104</v>
      </c>
      <c r="D11" s="36"/>
      <c r="E11" s="21" t="s">
        <v>111</v>
      </c>
      <c r="F11" s="36">
        <f>2*22.5</f>
        <v>45</v>
      </c>
    </row>
    <row r="12" spans="1:8" x14ac:dyDescent="0.2">
      <c r="A12" s="23" t="s">
        <v>9</v>
      </c>
      <c r="B12" s="37">
        <f>5*8</f>
        <v>40</v>
      </c>
      <c r="C12" s="23" t="s">
        <v>105</v>
      </c>
      <c r="D12" s="37">
        <v>26.25</v>
      </c>
      <c r="E12" s="23" t="s">
        <v>112</v>
      </c>
      <c r="F12" s="37">
        <f>1*22.5</f>
        <v>22.5</v>
      </c>
    </row>
    <row r="13" spans="1:8" x14ac:dyDescent="0.2">
      <c r="A13" s="23" t="s">
        <v>10</v>
      </c>
      <c r="B13" s="37">
        <v>11500</v>
      </c>
      <c r="C13" s="23" t="s">
        <v>106</v>
      </c>
      <c r="D13" s="37">
        <v>6</v>
      </c>
      <c r="E13" s="23" t="s">
        <v>113</v>
      </c>
      <c r="F13" s="37">
        <v>22.5</v>
      </c>
    </row>
    <row r="14" spans="1:8" x14ac:dyDescent="0.2">
      <c r="A14" s="38" t="s">
        <v>11</v>
      </c>
      <c r="B14" s="39">
        <f>B12*100*E4/B13</f>
        <v>0.3912954419418283</v>
      </c>
      <c r="C14" s="23" t="s">
        <v>107</v>
      </c>
      <c r="D14" s="37">
        <v>0.85</v>
      </c>
      <c r="E14" s="23" t="s">
        <v>114</v>
      </c>
      <c r="F14" s="37">
        <v>22.5</v>
      </c>
    </row>
    <row r="15" spans="1:8" x14ac:dyDescent="0.2">
      <c r="A15" s="23" t="s">
        <v>12</v>
      </c>
      <c r="B15" s="37">
        <f>15*8</f>
        <v>120</v>
      </c>
      <c r="C15" s="23" t="s">
        <v>108</v>
      </c>
      <c r="D15" s="50">
        <f>2*60*D12*D14/D13</f>
        <v>446.25</v>
      </c>
      <c r="E15" s="23" t="s">
        <v>115</v>
      </c>
      <c r="F15" s="37">
        <f>3*8</f>
        <v>24</v>
      </c>
    </row>
    <row r="16" spans="1:8" x14ac:dyDescent="0.2">
      <c r="A16" s="23" t="s">
        <v>10</v>
      </c>
      <c r="B16" s="37">
        <v>11500</v>
      </c>
      <c r="C16" s="23" t="s">
        <v>109</v>
      </c>
      <c r="D16" s="50">
        <f>B27*D15</f>
        <v>7394.3625000000002</v>
      </c>
      <c r="E16" s="23"/>
      <c r="F16" s="43">
        <f>SUM(F11:F15)</f>
        <v>136.5</v>
      </c>
    </row>
    <row r="17" spans="1:6" x14ac:dyDescent="0.2">
      <c r="A17" s="38" t="s">
        <v>11</v>
      </c>
      <c r="B17" s="39">
        <f>B15*100*E4/B16</f>
        <v>1.173886325825485</v>
      </c>
      <c r="C17" s="23" t="s">
        <v>33</v>
      </c>
      <c r="D17" s="142">
        <v>94.75</v>
      </c>
      <c r="E17" s="40" t="s">
        <v>11</v>
      </c>
      <c r="F17" s="41">
        <f>F16*100*E4/D16</f>
        <v>2.0767037725976545</v>
      </c>
    </row>
    <row r="18" spans="1:6" x14ac:dyDescent="0.2">
      <c r="A18" s="23" t="s">
        <v>13</v>
      </c>
      <c r="B18" s="142">
        <v>5.25</v>
      </c>
      <c r="C18" s="23" t="s">
        <v>110</v>
      </c>
      <c r="D18" s="37">
        <f>D17*0.5*0.9</f>
        <v>42.637500000000003</v>
      </c>
    </row>
    <row r="19" spans="1:6" x14ac:dyDescent="0.2">
      <c r="A19" s="23" t="s">
        <v>14</v>
      </c>
      <c r="B19" s="142">
        <v>500</v>
      </c>
      <c r="C19" s="23"/>
      <c r="D19" s="37"/>
    </row>
    <row r="20" spans="1:6" x14ac:dyDescent="0.2">
      <c r="A20" s="40" t="s">
        <v>15</v>
      </c>
      <c r="B20" s="41">
        <f>B18*0.5*E4/B19</f>
        <v>5.9061155768094708E-3</v>
      </c>
      <c r="C20" s="40" t="s">
        <v>15</v>
      </c>
      <c r="D20" s="41">
        <f>D18*B28*E5/D16</f>
        <v>0.14011588816478113</v>
      </c>
    </row>
    <row r="21" spans="1:6" x14ac:dyDescent="0.2">
      <c r="A21" s="35" t="s">
        <v>159</v>
      </c>
      <c r="B21" s="47" t="s">
        <v>146</v>
      </c>
      <c r="C21" s="6"/>
      <c r="D21" s="6"/>
    </row>
    <row r="22" spans="1:6" x14ac:dyDescent="0.2">
      <c r="A22" s="48" t="s">
        <v>16</v>
      </c>
      <c r="B22" s="37">
        <v>0.13</v>
      </c>
      <c r="D22" s="3"/>
      <c r="E22" s="6"/>
      <c r="F22" s="6"/>
    </row>
    <row r="23" spans="1:6" x14ac:dyDescent="0.2">
      <c r="A23" s="48" t="s">
        <v>17</v>
      </c>
      <c r="B23" s="37">
        <v>120</v>
      </c>
      <c r="D23" s="3"/>
    </row>
    <row r="24" spans="1:6" x14ac:dyDescent="0.2">
      <c r="A24" s="48" t="s">
        <v>18</v>
      </c>
      <c r="B24" s="37">
        <v>0.8</v>
      </c>
      <c r="D24" s="3"/>
    </row>
    <row r="25" spans="1:6" x14ac:dyDescent="0.2">
      <c r="A25" s="48" t="s">
        <v>19</v>
      </c>
      <c r="B25" s="49">
        <f>B23*1.0936*60*B24*0.4536/(840*B22)</f>
        <v>26.165641846153846</v>
      </c>
      <c r="C25" s="9"/>
      <c r="D25" s="25"/>
    </row>
    <row r="26" spans="1:6" x14ac:dyDescent="0.2">
      <c r="A26" s="48" t="s">
        <v>20</v>
      </c>
      <c r="B26" s="37">
        <v>7</v>
      </c>
      <c r="D26" s="3"/>
      <c r="E26" s="10"/>
      <c r="F26" s="10"/>
    </row>
    <row r="27" spans="1:6" x14ac:dyDescent="0.2">
      <c r="A27" s="48" t="s">
        <v>21</v>
      </c>
      <c r="B27" s="143">
        <v>16.57</v>
      </c>
      <c r="C27" s="151"/>
      <c r="D27" s="154"/>
    </row>
    <row r="28" spans="1:6" x14ac:dyDescent="0.2">
      <c r="A28" s="48" t="s">
        <v>22</v>
      </c>
      <c r="B28" s="37">
        <v>22.5</v>
      </c>
      <c r="D28" s="3"/>
    </row>
    <row r="29" spans="1:6" x14ac:dyDescent="0.2">
      <c r="A29" s="48" t="s">
        <v>23</v>
      </c>
      <c r="B29" s="50">
        <f>B28*B25*B26</f>
        <v>4121.0885907692309</v>
      </c>
      <c r="C29" s="11"/>
      <c r="D29" s="42"/>
      <c r="E29" s="7"/>
      <c r="F29" s="7"/>
    </row>
    <row r="30" spans="1:6" x14ac:dyDescent="0.2">
      <c r="A30" s="48" t="s">
        <v>25</v>
      </c>
      <c r="B30" s="49">
        <v>22.5</v>
      </c>
      <c r="C30" s="9"/>
      <c r="D30" s="25"/>
    </row>
    <row r="31" spans="1:6" x14ac:dyDescent="0.2">
      <c r="A31" s="38" t="s">
        <v>102</v>
      </c>
      <c r="B31" s="76">
        <f>B30*100*E6/B29</f>
        <v>0.55425841072852933</v>
      </c>
      <c r="C31" s="29"/>
      <c r="D31" s="139"/>
    </row>
    <row r="32" spans="1:6" x14ac:dyDescent="0.2">
      <c r="A32" s="48" t="s">
        <v>26</v>
      </c>
      <c r="B32" s="49">
        <f>B27*0.55*B24</f>
        <v>7.2908000000000008</v>
      </c>
      <c r="D32" s="25"/>
    </row>
    <row r="33" spans="1:5" x14ac:dyDescent="0.2">
      <c r="A33" s="40" t="s">
        <v>15</v>
      </c>
      <c r="B33" s="41">
        <f>B32*B26*E6/B29*B28</f>
        <v>0.28286910546576938</v>
      </c>
      <c r="D33" s="138"/>
    </row>
    <row r="34" spans="1:5" x14ac:dyDescent="0.2">
      <c r="A34" s="35" t="s">
        <v>5</v>
      </c>
      <c r="B34" s="62" t="s">
        <v>28</v>
      </c>
      <c r="D34" s="145"/>
    </row>
    <row r="35" spans="1:5" x14ac:dyDescent="0.2">
      <c r="A35" s="23" t="s">
        <v>16</v>
      </c>
      <c r="B35" s="108">
        <v>0.13</v>
      </c>
      <c r="C35" s="27"/>
      <c r="D35" s="145"/>
      <c r="E35" s="10"/>
    </row>
    <row r="36" spans="1:5" x14ac:dyDescent="0.2">
      <c r="A36" s="23" t="s">
        <v>17</v>
      </c>
      <c r="B36" s="108">
        <v>450</v>
      </c>
      <c r="C36" s="27"/>
      <c r="D36" s="29"/>
      <c r="E36" s="11"/>
    </row>
    <row r="37" spans="1:5" x14ac:dyDescent="0.2">
      <c r="A37" s="48" t="s">
        <v>18</v>
      </c>
      <c r="B37" s="108">
        <v>0.8</v>
      </c>
      <c r="C37" s="27"/>
      <c r="D37" s="29"/>
    </row>
    <row r="38" spans="1:5" x14ac:dyDescent="0.2">
      <c r="A38" s="48" t="s">
        <v>29</v>
      </c>
      <c r="B38" s="109">
        <f>24*60*B36*1.0936*B37*0.4536/(840*B35)</f>
        <v>2354.9077661538463</v>
      </c>
      <c r="C38" s="30"/>
      <c r="D38" s="7"/>
    </row>
    <row r="39" spans="1:5" x14ac:dyDescent="0.2">
      <c r="A39" s="48" t="s">
        <v>30</v>
      </c>
      <c r="B39" s="108">
        <f>22.5/2</f>
        <v>11.25</v>
      </c>
      <c r="C39" s="27"/>
      <c r="D39" s="29"/>
      <c r="E39" s="7"/>
    </row>
    <row r="40" spans="1:5" x14ac:dyDescent="0.2">
      <c r="A40" s="38" t="s">
        <v>31</v>
      </c>
      <c r="B40" s="110">
        <f>B39*100*E7/B38</f>
        <v>0.48255122884052587</v>
      </c>
      <c r="C40" s="31"/>
      <c r="D40" s="29"/>
    </row>
    <row r="41" spans="1:5" x14ac:dyDescent="0.2">
      <c r="A41" s="48" t="s">
        <v>33</v>
      </c>
      <c r="B41" s="111">
        <v>12.33</v>
      </c>
      <c r="C41" s="15"/>
      <c r="D41" s="7"/>
    </row>
    <row r="42" spans="1:5" x14ac:dyDescent="0.2">
      <c r="A42" s="48" t="s">
        <v>34</v>
      </c>
      <c r="B42" s="112">
        <f>B41*0.5*B37*24</f>
        <v>118.36800000000001</v>
      </c>
      <c r="C42" s="32"/>
    </row>
    <row r="43" spans="1:5" x14ac:dyDescent="0.2">
      <c r="A43" s="40" t="s">
        <v>35</v>
      </c>
      <c r="B43" s="113">
        <f>B42*E7/B38</f>
        <v>5.0772110093684771E-2</v>
      </c>
      <c r="C43" s="33"/>
    </row>
    <row r="44" spans="1:5" x14ac:dyDescent="0.2">
      <c r="A44" s="6" t="s">
        <v>164</v>
      </c>
      <c r="B44" s="7">
        <f>B14+B17+F17+B31+B40</f>
        <v>4.6786951799340226</v>
      </c>
      <c r="C44" s="7"/>
      <c r="D44" s="7"/>
      <c r="E44" s="7"/>
    </row>
    <row r="45" spans="1:5" x14ac:dyDescent="0.2">
      <c r="A45" s="6" t="s">
        <v>165</v>
      </c>
      <c r="B45" s="7">
        <f>B20+D20+B33+B43</f>
        <v>0.47966321930104472</v>
      </c>
      <c r="C45" s="7"/>
      <c r="D45" s="7"/>
      <c r="E45" s="7"/>
    </row>
    <row r="46" spans="1:5" x14ac:dyDescent="0.2">
      <c r="A46" s="35" t="s">
        <v>166</v>
      </c>
      <c r="B46" s="114"/>
      <c r="C46" s="114"/>
    </row>
    <row r="47" spans="1:5" x14ac:dyDescent="0.2">
      <c r="A47" s="38" t="s">
        <v>161</v>
      </c>
      <c r="B47" s="106" t="s">
        <v>214</v>
      </c>
      <c r="C47" s="106" t="s">
        <v>215</v>
      </c>
    </row>
    <row r="48" spans="1:5" x14ac:dyDescent="0.2">
      <c r="A48" s="48" t="s">
        <v>47</v>
      </c>
      <c r="B48" s="82">
        <v>30</v>
      </c>
      <c r="C48" s="82">
        <v>31</v>
      </c>
    </row>
    <row r="49" spans="1:4" x14ac:dyDescent="0.2">
      <c r="A49" s="48" t="s">
        <v>48</v>
      </c>
      <c r="B49" s="82">
        <v>28.5</v>
      </c>
      <c r="C49" s="82">
        <v>29</v>
      </c>
    </row>
    <row r="50" spans="1:4" x14ac:dyDescent="0.2">
      <c r="A50" s="48" t="s">
        <v>38</v>
      </c>
      <c r="B50" s="82">
        <v>100000</v>
      </c>
      <c r="C50" s="82">
        <v>100000</v>
      </c>
    </row>
    <row r="51" spans="1:4" x14ac:dyDescent="0.2">
      <c r="A51" s="48" t="s">
        <v>18</v>
      </c>
      <c r="B51" s="82">
        <v>0.95</v>
      </c>
      <c r="C51" s="82">
        <v>0.95</v>
      </c>
    </row>
    <row r="52" spans="1:4" x14ac:dyDescent="0.2">
      <c r="A52" s="38" t="s">
        <v>50</v>
      </c>
      <c r="B52" s="83">
        <f>7.2*B50*B51/(B48*B49)</f>
        <v>800</v>
      </c>
      <c r="C52" s="83">
        <f>7.2*C50*C51/(C48*C49)</f>
        <v>760.84538375973307</v>
      </c>
    </row>
    <row r="53" spans="1:4" x14ac:dyDescent="0.2">
      <c r="A53" s="38" t="s">
        <v>169</v>
      </c>
      <c r="B53" s="112">
        <v>320</v>
      </c>
      <c r="C53" s="112">
        <v>320</v>
      </c>
    </row>
    <row r="54" spans="1:4" x14ac:dyDescent="0.2">
      <c r="A54" s="48" t="s">
        <v>167</v>
      </c>
      <c r="B54" s="150">
        <v>68.180000000000007</v>
      </c>
      <c r="C54" s="150">
        <v>68.180000000000007</v>
      </c>
    </row>
    <row r="55" spans="1:4" x14ac:dyDescent="0.2">
      <c r="A55" s="38" t="s">
        <v>168</v>
      </c>
      <c r="B55" s="86">
        <f>B54/(B53*B52/1000)*8</f>
        <v>2.1306250000000002</v>
      </c>
      <c r="C55" s="86">
        <f>C54/(C53*C52/1000)*8</f>
        <v>2.2402711988304094</v>
      </c>
    </row>
    <row r="56" spans="1:4" x14ac:dyDescent="0.2">
      <c r="A56" s="48" t="s">
        <v>54</v>
      </c>
      <c r="B56" s="82"/>
      <c r="C56" s="82"/>
    </row>
    <row r="57" spans="1:4" x14ac:dyDescent="0.2">
      <c r="A57" s="48" t="s">
        <v>55</v>
      </c>
      <c r="B57" s="82">
        <v>100</v>
      </c>
      <c r="C57" s="82">
        <v>100</v>
      </c>
    </row>
    <row r="58" spans="1:4" x14ac:dyDescent="0.2">
      <c r="A58" s="48" t="s">
        <v>57</v>
      </c>
      <c r="B58" s="82">
        <v>780</v>
      </c>
      <c r="C58" s="82">
        <v>780</v>
      </c>
    </row>
    <row r="59" spans="1:4" x14ac:dyDescent="0.2">
      <c r="A59" s="48" t="s">
        <v>59</v>
      </c>
      <c r="B59" s="82">
        <f>SUM(B57:B58)</f>
        <v>880</v>
      </c>
      <c r="C59" s="82">
        <f>SUM(C57:C58)</f>
        <v>880</v>
      </c>
    </row>
    <row r="60" spans="1:4" x14ac:dyDescent="0.2">
      <c r="A60" s="48" t="s">
        <v>170</v>
      </c>
      <c r="B60" s="82">
        <v>1264</v>
      </c>
      <c r="C60" s="82">
        <v>1264</v>
      </c>
    </row>
    <row r="61" spans="1:4" x14ac:dyDescent="0.2">
      <c r="A61" s="48" t="s">
        <v>61</v>
      </c>
      <c r="B61" s="117">
        <v>0.94199999999999995</v>
      </c>
      <c r="C61" s="117">
        <v>0.94199999999999995</v>
      </c>
      <c r="D61" s="153"/>
    </row>
    <row r="62" spans="1:4" x14ac:dyDescent="0.2">
      <c r="A62" s="48" t="s">
        <v>171</v>
      </c>
      <c r="B62" s="88">
        <f>B59*1000/(B60*3*B61)</f>
        <v>246.3561683105342</v>
      </c>
      <c r="C62" s="88">
        <f>C59*1000/(C60*3*C61)</f>
        <v>246.3561683105342</v>
      </c>
    </row>
    <row r="63" spans="1:4" x14ac:dyDescent="0.2">
      <c r="A63" s="38" t="s">
        <v>64</v>
      </c>
      <c r="B63" s="86">
        <f>B62/B52</f>
        <v>0.30794521038816774</v>
      </c>
      <c r="C63" s="86">
        <f>C62/C52</f>
        <v>0.32379268320346527</v>
      </c>
    </row>
    <row r="64" spans="1:4" x14ac:dyDescent="0.2">
      <c r="A64" s="48" t="s">
        <v>174</v>
      </c>
      <c r="B64" s="115">
        <f>8*22.5</f>
        <v>180</v>
      </c>
      <c r="C64" s="115">
        <f>8*22.5</f>
        <v>180</v>
      </c>
    </row>
    <row r="65" spans="1:3" x14ac:dyDescent="0.2">
      <c r="A65" s="48" t="s">
        <v>172</v>
      </c>
      <c r="B65" s="82">
        <f>2*8</f>
        <v>16</v>
      </c>
      <c r="C65" s="82">
        <f>2*8</f>
        <v>16</v>
      </c>
    </row>
    <row r="66" spans="1:3" x14ac:dyDescent="0.2">
      <c r="A66" s="48" t="s">
        <v>175</v>
      </c>
      <c r="B66" s="82">
        <f>2*8</f>
        <v>16</v>
      </c>
      <c r="C66" s="82">
        <f>2*8</f>
        <v>16</v>
      </c>
    </row>
    <row r="67" spans="1:3" x14ac:dyDescent="0.2">
      <c r="A67" s="48" t="s">
        <v>42</v>
      </c>
      <c r="B67" s="82">
        <f t="shared" ref="B67:C70" si="0">1*22.5</f>
        <v>22.5</v>
      </c>
      <c r="C67" s="82">
        <f t="shared" si="0"/>
        <v>22.5</v>
      </c>
    </row>
    <row r="68" spans="1:3" x14ac:dyDescent="0.2">
      <c r="A68" s="48" t="s">
        <v>173</v>
      </c>
      <c r="B68" s="82">
        <f t="shared" si="0"/>
        <v>22.5</v>
      </c>
      <c r="C68" s="82">
        <f t="shared" si="0"/>
        <v>22.5</v>
      </c>
    </row>
    <row r="69" spans="1:3" x14ac:dyDescent="0.2">
      <c r="A69" s="48" t="s">
        <v>41</v>
      </c>
      <c r="B69" s="82">
        <f t="shared" si="0"/>
        <v>22.5</v>
      </c>
      <c r="C69" s="82">
        <f t="shared" si="0"/>
        <v>22.5</v>
      </c>
    </row>
    <row r="70" spans="1:3" x14ac:dyDescent="0.2">
      <c r="A70" s="48" t="s">
        <v>116</v>
      </c>
      <c r="B70" s="82">
        <f t="shared" si="0"/>
        <v>22.5</v>
      </c>
      <c r="C70" s="82">
        <f t="shared" si="0"/>
        <v>22.5</v>
      </c>
    </row>
    <row r="71" spans="1:3" x14ac:dyDescent="0.2">
      <c r="A71" s="48" t="s">
        <v>76</v>
      </c>
      <c r="B71" s="90">
        <f>58*0.2</f>
        <v>11.600000000000001</v>
      </c>
      <c r="C71" s="90">
        <f>58*0.2</f>
        <v>11.600000000000001</v>
      </c>
    </row>
    <row r="72" spans="1:3" x14ac:dyDescent="0.2">
      <c r="A72" s="48" t="s">
        <v>122</v>
      </c>
      <c r="B72" s="90">
        <f>9*8*0.2</f>
        <v>14.4</v>
      </c>
      <c r="C72" s="90">
        <f>9*8*0.2</f>
        <v>14.4</v>
      </c>
    </row>
    <row r="73" spans="1:3" x14ac:dyDescent="0.2">
      <c r="A73" s="48" t="s">
        <v>121</v>
      </c>
      <c r="B73" s="90">
        <f>1*8*0.2</f>
        <v>1.6</v>
      </c>
      <c r="C73" s="90">
        <f>1*8*0.2</f>
        <v>1.6</v>
      </c>
    </row>
    <row r="74" spans="1:3" x14ac:dyDescent="0.2">
      <c r="A74" s="48" t="s">
        <v>77</v>
      </c>
      <c r="B74" s="90">
        <f>1*8*0.2</f>
        <v>1.6</v>
      </c>
      <c r="C74" s="90">
        <f>1*8*0.2</f>
        <v>1.6</v>
      </c>
    </row>
    <row r="75" spans="1:3" x14ac:dyDescent="0.2">
      <c r="A75" s="48" t="s">
        <v>78</v>
      </c>
      <c r="B75" s="90">
        <f>2*8*0.2</f>
        <v>3.2</v>
      </c>
      <c r="C75" s="90">
        <f>2*8*0.2</f>
        <v>3.2</v>
      </c>
    </row>
    <row r="76" spans="1:3" x14ac:dyDescent="0.2">
      <c r="A76" s="48" t="s">
        <v>79</v>
      </c>
      <c r="B76" s="90">
        <f>4*8*0.2</f>
        <v>6.4</v>
      </c>
      <c r="C76" s="90">
        <f>4*8*0.2</f>
        <v>6.4</v>
      </c>
    </row>
    <row r="77" spans="1:3" x14ac:dyDescent="0.2">
      <c r="A77" s="48" t="s">
        <v>176</v>
      </c>
      <c r="B77" s="90">
        <f>SUM(B64:B76)</f>
        <v>340.8</v>
      </c>
      <c r="C77" s="90">
        <f>SUM(C64:C76)</f>
        <v>340.8</v>
      </c>
    </row>
    <row r="78" spans="1:3" x14ac:dyDescent="0.2">
      <c r="A78" s="48" t="s">
        <v>177</v>
      </c>
      <c r="B78" s="88">
        <f>B77*1000/(B60*3*B61)</f>
        <v>95.407025182079607</v>
      </c>
      <c r="C78" s="88">
        <f>C77*1000/(C60*3*C61)</f>
        <v>95.407025182079607</v>
      </c>
    </row>
    <row r="79" spans="1:3" x14ac:dyDescent="0.2">
      <c r="A79" s="40" t="s">
        <v>82</v>
      </c>
      <c r="B79" s="91">
        <f>B78*100*$E$8/B52</f>
        <v>11.925878147759953</v>
      </c>
      <c r="C79" s="91">
        <f>C78*100*$E$8/C52</f>
        <v>12.539607549516019</v>
      </c>
    </row>
    <row r="81" spans="1:3" x14ac:dyDescent="0.2">
      <c r="A81" s="35" t="s">
        <v>92</v>
      </c>
      <c r="B81" s="62"/>
      <c r="C81" s="62"/>
    </row>
    <row r="82" spans="1:3" x14ac:dyDescent="0.2">
      <c r="A82" s="23" t="s">
        <v>93</v>
      </c>
      <c r="B82" s="82"/>
      <c r="C82" s="82"/>
    </row>
    <row r="83" spans="1:3" x14ac:dyDescent="0.2">
      <c r="A83" s="23" t="s">
        <v>140</v>
      </c>
      <c r="B83" s="82"/>
      <c r="C83" s="82"/>
    </row>
    <row r="84" spans="1:3" x14ac:dyDescent="0.2">
      <c r="A84" s="23" t="s">
        <v>102</v>
      </c>
      <c r="B84" s="82"/>
      <c r="C84" s="82"/>
    </row>
    <row r="85" spans="1:3" x14ac:dyDescent="0.2">
      <c r="A85" s="23" t="s">
        <v>206</v>
      </c>
      <c r="B85" s="82">
        <v>60</v>
      </c>
      <c r="C85" s="82">
        <v>60</v>
      </c>
    </row>
    <row r="86" spans="1:3" x14ac:dyDescent="0.2">
      <c r="A86" s="23" t="s">
        <v>207</v>
      </c>
      <c r="B86" s="82">
        <v>20</v>
      </c>
      <c r="C86" s="82">
        <v>20</v>
      </c>
    </row>
    <row r="87" spans="1:3" x14ac:dyDescent="0.2">
      <c r="A87" s="38" t="s">
        <v>102</v>
      </c>
      <c r="B87" s="86">
        <f>8*100/B85/B86</f>
        <v>0.66666666666666674</v>
      </c>
      <c r="C87" s="86">
        <f>8*100/C85/C86</f>
        <v>0.66666666666666674</v>
      </c>
    </row>
    <row r="88" spans="1:3" x14ac:dyDescent="0.2">
      <c r="A88" s="23" t="s">
        <v>129</v>
      </c>
      <c r="B88" s="90">
        <v>3200</v>
      </c>
      <c r="C88" s="90">
        <v>3200</v>
      </c>
    </row>
    <row r="89" spans="1:3" x14ac:dyDescent="0.2">
      <c r="A89" s="23" t="s">
        <v>130</v>
      </c>
      <c r="B89" s="88">
        <f>3*8</f>
        <v>24</v>
      </c>
      <c r="C89" s="88">
        <f>3*8</f>
        <v>24</v>
      </c>
    </row>
    <row r="90" spans="1:3" x14ac:dyDescent="0.2">
      <c r="A90" s="38" t="s">
        <v>102</v>
      </c>
      <c r="B90" s="89">
        <f>B89*100/B88</f>
        <v>0.75</v>
      </c>
      <c r="C90" s="89">
        <f>C89*100/C88</f>
        <v>0.75</v>
      </c>
    </row>
    <row r="91" spans="1:3" x14ac:dyDescent="0.2">
      <c r="A91" s="23" t="s">
        <v>132</v>
      </c>
      <c r="B91" s="90">
        <v>12000</v>
      </c>
      <c r="C91" s="90">
        <v>12000</v>
      </c>
    </row>
    <row r="92" spans="1:3" x14ac:dyDescent="0.2">
      <c r="A92" s="23" t="s">
        <v>130</v>
      </c>
      <c r="B92" s="90">
        <f>4*8</f>
        <v>32</v>
      </c>
      <c r="C92" s="90">
        <f>4*8</f>
        <v>32</v>
      </c>
    </row>
    <row r="93" spans="1:3" x14ac:dyDescent="0.2">
      <c r="A93" s="23" t="s">
        <v>31</v>
      </c>
      <c r="B93" s="85">
        <f>B92*100/B91</f>
        <v>0.26666666666666666</v>
      </c>
      <c r="C93" s="85">
        <f>C92*100/C91</f>
        <v>0.26666666666666666</v>
      </c>
    </row>
    <row r="94" spans="1:3" x14ac:dyDescent="0.2">
      <c r="A94" s="38" t="s">
        <v>31</v>
      </c>
      <c r="B94" s="89">
        <f>B84+B87+B90+B93</f>
        <v>1.6833333333333333</v>
      </c>
      <c r="C94" s="89">
        <f>C84+C87+C90+C93</f>
        <v>1.6833333333333333</v>
      </c>
    </row>
    <row r="96" spans="1:3" x14ac:dyDescent="0.2">
      <c r="B96" s="9"/>
      <c r="C96" s="9"/>
    </row>
    <row r="97" spans="1:3" x14ac:dyDescent="0.2">
      <c r="A97" s="35" t="s">
        <v>94</v>
      </c>
      <c r="B97" s="97" t="str">
        <f>B47</f>
        <v>30s O.E II Q</v>
      </c>
      <c r="C97" s="97" t="str">
        <f>C47</f>
        <v>31s O.E II Q</v>
      </c>
    </row>
    <row r="98" spans="1:3" x14ac:dyDescent="0.2">
      <c r="A98" s="38" t="s">
        <v>95</v>
      </c>
      <c r="B98" s="98">
        <f>B52</f>
        <v>800</v>
      </c>
      <c r="C98" s="98">
        <f>C52</f>
        <v>760.84538375973307</v>
      </c>
    </row>
    <row r="99" spans="1:3" x14ac:dyDescent="0.2">
      <c r="A99" s="38" t="s">
        <v>96</v>
      </c>
      <c r="B99" s="99">
        <f>B55</f>
        <v>2.1306250000000002</v>
      </c>
      <c r="C99" s="99">
        <f>C55</f>
        <v>2.2402711988304094</v>
      </c>
    </row>
    <row r="100" spans="1:3" x14ac:dyDescent="0.2">
      <c r="A100" s="38" t="s">
        <v>64</v>
      </c>
      <c r="B100" s="99">
        <f>B63</f>
        <v>0.30794521038816774</v>
      </c>
      <c r="C100" s="99">
        <f>C63</f>
        <v>0.32379268320346527</v>
      </c>
    </row>
    <row r="101" spans="1:3" x14ac:dyDescent="0.2">
      <c r="A101" s="38" t="s">
        <v>97</v>
      </c>
      <c r="B101" s="99">
        <f>B45</f>
        <v>0.47966321930104472</v>
      </c>
      <c r="C101" s="99">
        <f>C45</f>
        <v>0</v>
      </c>
    </row>
    <row r="102" spans="1:3" x14ac:dyDescent="0.2">
      <c r="A102" s="38" t="s">
        <v>98</v>
      </c>
      <c r="B102" s="99">
        <f>B44+B79</f>
        <v>16.604573327693977</v>
      </c>
      <c r="C102" s="99">
        <f>C44+C79</f>
        <v>12.539607549516019</v>
      </c>
    </row>
    <row r="103" spans="1:3" x14ac:dyDescent="0.2">
      <c r="A103" s="38" t="s">
        <v>100</v>
      </c>
      <c r="B103" s="99">
        <f>B94</f>
        <v>1.6833333333333333</v>
      </c>
      <c r="C103" s="99">
        <f>C94</f>
        <v>1.6833333333333333</v>
      </c>
    </row>
    <row r="104" spans="1:3" x14ac:dyDescent="0.2">
      <c r="A104" s="40" t="s">
        <v>141</v>
      </c>
      <c r="B104" s="100"/>
      <c r="C104" s="100"/>
    </row>
    <row r="105" spans="1:3" x14ac:dyDescent="0.2">
      <c r="A105" s="6"/>
      <c r="B105" s="13"/>
      <c r="C105" s="116"/>
    </row>
    <row r="106" spans="1:3" x14ac:dyDescent="0.2">
      <c r="A106" s="6"/>
      <c r="C106" s="96"/>
    </row>
    <row r="107" spans="1:3" x14ac:dyDescent="0.2">
      <c r="A107" s="6"/>
      <c r="B107" s="18"/>
      <c r="C107" s="96"/>
    </row>
    <row r="108" spans="1:3" x14ac:dyDescent="0.2">
      <c r="A108" s="6"/>
      <c r="B108" s="19"/>
      <c r="C108" s="96"/>
    </row>
    <row r="109" spans="1:3" x14ac:dyDescent="0.2">
      <c r="A109" s="6"/>
      <c r="B109" s="20"/>
      <c r="C109" s="96"/>
    </row>
    <row r="110" spans="1:3" x14ac:dyDescent="0.2">
      <c r="C110" s="96"/>
    </row>
    <row r="111" spans="1:3" x14ac:dyDescent="0.2">
      <c r="C111" s="96"/>
    </row>
    <row r="112" spans="1:3" x14ac:dyDescent="0.2">
      <c r="C112" s="46"/>
    </row>
  </sheetData>
  <mergeCells count="1">
    <mergeCell ref="A2:F2"/>
  </mergeCells>
  <phoneticPr fontId="0" type="noConversion"/>
  <pageMargins left="0.75" right="0.75" top="1" bottom="1" header="0.5" footer="0.5"/>
  <pageSetup scale="86" orientation="portrait" r:id="rId1"/>
  <headerFooter alignWithMargins="0"/>
  <rowBreaks count="2" manualBreakCount="2">
    <brk id="45" max="16383" man="1"/>
    <brk id="10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E127"/>
  <sheetViews>
    <sheetView tabSelected="1" topLeftCell="A22" zoomScaleSheetLayoutView="100" workbookViewId="0">
      <selection activeCell="G6" sqref="G6"/>
    </sheetView>
  </sheetViews>
  <sheetFormatPr defaultColWidth="9.140625" defaultRowHeight="15" x14ac:dyDescent="0.2"/>
  <cols>
    <col min="1" max="1" width="12" style="160" customWidth="1"/>
    <col min="2" max="2" width="17.28515625" style="160" customWidth="1"/>
    <col min="3" max="3" width="19.28515625" style="160" customWidth="1"/>
    <col min="4" max="4" width="8.85546875" style="160" customWidth="1"/>
    <col min="5" max="5" width="7.5703125" style="160" customWidth="1"/>
    <col min="6" max="6" width="9.140625" style="160" customWidth="1"/>
    <col min="7" max="7" width="9.7109375" style="160" customWidth="1"/>
    <col min="8" max="8" width="10.7109375" style="160" customWidth="1"/>
    <col min="9" max="9" width="11" style="160" customWidth="1"/>
    <col min="10" max="10" width="10.28515625" style="160" customWidth="1"/>
    <col min="11" max="11" width="11.5703125" style="160" customWidth="1"/>
    <col min="12" max="12" width="10.42578125" style="160" customWidth="1"/>
    <col min="13" max="13" width="11.42578125" style="160" customWidth="1"/>
    <col min="14" max="14" width="12.140625" style="160" customWidth="1"/>
    <col min="15" max="15" width="11.28515625" style="160" customWidth="1"/>
    <col min="16" max="16" width="10.28515625" style="160" customWidth="1"/>
    <col min="17" max="17" width="11.28515625" style="160" customWidth="1"/>
    <col min="18" max="18" width="11.7109375" style="160" customWidth="1"/>
    <col min="19" max="16384" width="9.140625" style="160"/>
  </cols>
  <sheetData>
    <row r="1" spans="1:31" ht="24" customHeight="1" x14ac:dyDescent="0.25">
      <c r="A1" s="348" t="s">
        <v>330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</row>
    <row r="2" spans="1:31" ht="18.95" customHeight="1" x14ac:dyDescent="0.2">
      <c r="A2" s="351" t="s">
        <v>304</v>
      </c>
      <c r="B2" s="351"/>
      <c r="C2" s="316">
        <f ca="1">TODAY()</f>
        <v>45588</v>
      </c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</row>
    <row r="3" spans="1:31" ht="18.95" customHeight="1" x14ac:dyDescent="0.2">
      <c r="A3" s="351" t="s">
        <v>303</v>
      </c>
      <c r="B3" s="351"/>
      <c r="C3" s="317">
        <v>14832</v>
      </c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</row>
    <row r="4" spans="1:31" ht="18.95" customHeight="1" x14ac:dyDescent="0.2">
      <c r="A4" s="351" t="s">
        <v>317</v>
      </c>
      <c r="B4" s="351"/>
      <c r="C4" s="318">
        <f>Spin!C23</f>
        <v>14832</v>
      </c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</row>
    <row r="5" spans="1:31" ht="18.95" customHeight="1" x14ac:dyDescent="0.2">
      <c r="A5" s="351" t="s">
        <v>309</v>
      </c>
      <c r="B5" s="351"/>
      <c r="C5" s="319">
        <f>Spin!B22</f>
        <v>13</v>
      </c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</row>
    <row r="6" spans="1:31" ht="18.95" customHeight="1" x14ac:dyDescent="0.2">
      <c r="A6" s="351" t="s">
        <v>308</v>
      </c>
      <c r="B6" s="351"/>
      <c r="C6" s="320">
        <f>K26*C5</f>
        <v>4990.2887975923495</v>
      </c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4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</row>
    <row r="7" spans="1:31" ht="18.95" customHeight="1" x14ac:dyDescent="0.2">
      <c r="A7" s="351"/>
      <c r="B7" s="351"/>
      <c r="C7" s="318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</row>
    <row r="8" spans="1:31" ht="18.95" customHeight="1" x14ac:dyDescent="0.2">
      <c r="A8" s="351" t="s">
        <v>316</v>
      </c>
      <c r="B8" s="351"/>
      <c r="C8" s="319">
        <f>C4*100/C3</f>
        <v>100</v>
      </c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</row>
    <row r="9" spans="1:31" ht="18.95" customHeight="1" x14ac:dyDescent="0.2">
      <c r="C9" s="263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</row>
    <row r="10" spans="1:31" ht="18.95" customHeight="1" x14ac:dyDescent="0.2">
      <c r="A10" s="6"/>
      <c r="B10" s="6"/>
      <c r="C10" s="18"/>
      <c r="D10" s="221"/>
      <c r="E10" s="221"/>
      <c r="F10" s="221"/>
      <c r="G10" s="221"/>
      <c r="H10" s="221"/>
      <c r="I10" s="221"/>
      <c r="J10" s="221"/>
      <c r="K10" s="221"/>
      <c r="L10" s="221"/>
      <c r="M10" s="221"/>
      <c r="N10" s="221"/>
      <c r="O10" s="221"/>
      <c r="P10" s="221"/>
      <c r="Q10" s="22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</row>
    <row r="11" spans="1:31" ht="18.95" customHeight="1" x14ac:dyDescent="0.2">
      <c r="A11" s="222"/>
      <c r="B11" s="222"/>
      <c r="C11" s="222"/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222"/>
      <c r="O11" s="222"/>
      <c r="P11" s="222"/>
      <c r="Q11" s="222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</row>
    <row r="12" spans="1:31" ht="18" customHeight="1" x14ac:dyDescent="0.2">
      <c r="A12" s="332" t="s">
        <v>222</v>
      </c>
      <c r="B12" s="333"/>
      <c r="C12" s="333"/>
      <c r="D12" s="333"/>
      <c r="E12" s="333"/>
      <c r="F12" s="333"/>
      <c r="G12" s="333"/>
      <c r="H12" s="333"/>
      <c r="I12" s="334"/>
      <c r="J12" s="189" t="s">
        <v>2</v>
      </c>
      <c r="K12" s="28" t="s">
        <v>277</v>
      </c>
      <c r="L12" s="207" t="s">
        <v>4</v>
      </c>
      <c r="M12" s="207" t="s">
        <v>326</v>
      </c>
      <c r="N12" s="207" t="s">
        <v>327</v>
      </c>
      <c r="O12" s="189" t="s">
        <v>6</v>
      </c>
      <c r="P12" s="189" t="s">
        <v>144</v>
      </c>
      <c r="Q12" s="189" t="s">
        <v>278</v>
      </c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</row>
    <row r="13" spans="1:31" ht="18.95" customHeight="1" x14ac:dyDescent="0.2">
      <c r="A13" s="332" t="s">
        <v>236</v>
      </c>
      <c r="B13" s="333"/>
      <c r="C13" s="333"/>
      <c r="D13" s="333"/>
      <c r="E13" s="333"/>
      <c r="F13" s="333"/>
      <c r="G13" s="333"/>
      <c r="H13" s="333"/>
      <c r="I13" s="334"/>
      <c r="J13" s="313" t="s">
        <v>231</v>
      </c>
      <c r="K13" s="312">
        <v>3.5</v>
      </c>
      <c r="L13" s="211">
        <v>7.5</v>
      </c>
      <c r="M13" s="211">
        <v>0.5</v>
      </c>
      <c r="N13" s="190">
        <v>0.25</v>
      </c>
      <c r="O13" s="190">
        <v>0.25</v>
      </c>
      <c r="P13" s="190">
        <v>1.5</v>
      </c>
      <c r="Q13" s="190">
        <v>0.25</v>
      </c>
      <c r="R13" s="24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</row>
    <row r="14" spans="1:31" ht="18.95" customHeight="1" x14ac:dyDescent="0.2">
      <c r="A14" s="332" t="s">
        <v>279</v>
      </c>
      <c r="B14" s="333"/>
      <c r="C14" s="333"/>
      <c r="D14" s="333"/>
      <c r="E14" s="333"/>
      <c r="F14" s="333"/>
      <c r="G14" s="333"/>
      <c r="H14" s="333"/>
      <c r="I14" s="334"/>
      <c r="J14" s="313">
        <v>100</v>
      </c>
      <c r="K14" s="191">
        <f>J14-(J14*(K13/100))</f>
        <v>96.5</v>
      </c>
      <c r="L14" s="191">
        <f>K14-(K14*(L13/100))</f>
        <v>89.262500000000003</v>
      </c>
      <c r="M14" s="191">
        <f t="shared" ref="M14:Q14" si="0">L14-(L14*(M13/100))</f>
        <v>88.816187499999998</v>
      </c>
      <c r="N14" s="191">
        <f t="shared" si="0"/>
        <v>88.594147031250003</v>
      </c>
      <c r="O14" s="191">
        <f t="shared" si="0"/>
        <v>88.372661663671877</v>
      </c>
      <c r="P14" s="191">
        <f t="shared" si="0"/>
        <v>87.047071738716795</v>
      </c>
      <c r="Q14" s="191">
        <f t="shared" si="0"/>
        <v>86.829454059370008</v>
      </c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</row>
    <row r="15" spans="1:31" ht="18.95" customHeight="1" x14ac:dyDescent="0.2">
      <c r="A15" s="332" t="s">
        <v>220</v>
      </c>
      <c r="B15" s="333"/>
      <c r="C15" s="333"/>
      <c r="D15" s="333"/>
      <c r="E15" s="333"/>
      <c r="F15" s="333"/>
      <c r="G15" s="333"/>
      <c r="H15" s="333"/>
      <c r="I15" s="334"/>
      <c r="J15" s="192">
        <f t="shared" ref="J15:Q15" si="1">J14/$Q$14</f>
        <v>1.1516829292929169</v>
      </c>
      <c r="K15" s="192">
        <f t="shared" si="1"/>
        <v>1.1113740267676648</v>
      </c>
      <c r="L15" s="192">
        <f t="shared" si="1"/>
        <v>1.0280209747600899</v>
      </c>
      <c r="M15" s="192">
        <f t="shared" si="1"/>
        <v>1.0228808698862895</v>
      </c>
      <c r="N15" s="192">
        <f t="shared" si="1"/>
        <v>1.0203236677115737</v>
      </c>
      <c r="O15" s="192">
        <f t="shared" si="1"/>
        <v>1.0177728585422947</v>
      </c>
      <c r="P15" s="192">
        <f t="shared" si="1"/>
        <v>1.0025062656641603</v>
      </c>
      <c r="Q15" s="192">
        <f t="shared" si="1"/>
        <v>1</v>
      </c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</row>
    <row r="16" spans="1:31" ht="18.95" customHeight="1" x14ac:dyDescent="0.2">
      <c r="A16" s="349"/>
      <c r="B16" s="349"/>
      <c r="C16" s="349"/>
      <c r="D16" s="349"/>
      <c r="E16" s="349"/>
      <c r="F16" s="349"/>
      <c r="G16" s="349"/>
      <c r="H16" s="350"/>
      <c r="I16" s="350"/>
      <c r="J16" s="350"/>
      <c r="K16" s="350"/>
      <c r="L16" s="350"/>
      <c r="M16" s="350"/>
      <c r="N16" s="350"/>
      <c r="O16" s="350"/>
      <c r="P16" s="350"/>
      <c r="Q16" s="350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</row>
    <row r="17" spans="1:31" ht="18.95" customHeight="1" x14ac:dyDescent="0.2">
      <c r="A17" s="340" t="s">
        <v>222</v>
      </c>
      <c r="B17" s="341"/>
      <c r="C17" s="342"/>
      <c r="D17" s="346" t="s">
        <v>94</v>
      </c>
      <c r="E17" s="346" t="s">
        <v>221</v>
      </c>
      <c r="F17" s="335" t="s">
        <v>224</v>
      </c>
      <c r="G17" s="335" t="s">
        <v>225</v>
      </c>
      <c r="H17" s="336" t="s">
        <v>226</v>
      </c>
      <c r="I17" s="336" t="s">
        <v>308</v>
      </c>
      <c r="J17" s="193" t="s">
        <v>241</v>
      </c>
      <c r="K17" s="189" t="s">
        <v>227</v>
      </c>
      <c r="L17" s="335" t="s">
        <v>251</v>
      </c>
      <c r="M17" s="335"/>
      <c r="N17" s="194" t="s">
        <v>229</v>
      </c>
      <c r="O17" s="189" t="s">
        <v>293</v>
      </c>
      <c r="P17" s="338" t="s">
        <v>15</v>
      </c>
      <c r="Q17" s="339"/>
      <c r="R17" s="161"/>
      <c r="S17" s="162"/>
      <c r="T17" s="162"/>
      <c r="U17" s="162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</row>
    <row r="18" spans="1:31" ht="18.95" customHeight="1" x14ac:dyDescent="0.2">
      <c r="A18" s="343"/>
      <c r="B18" s="344"/>
      <c r="C18" s="345"/>
      <c r="D18" s="347"/>
      <c r="E18" s="347"/>
      <c r="F18" s="335"/>
      <c r="G18" s="335"/>
      <c r="H18" s="337"/>
      <c r="I18" s="337"/>
      <c r="J18" s="195" t="s">
        <v>242</v>
      </c>
      <c r="K18" s="196" t="s">
        <v>228</v>
      </c>
      <c r="L18" s="196" t="s">
        <v>286</v>
      </c>
      <c r="M18" s="196" t="s">
        <v>224</v>
      </c>
      <c r="N18" s="197" t="s">
        <v>230</v>
      </c>
      <c r="O18" s="287" t="s">
        <v>306</v>
      </c>
      <c r="P18" s="219" t="s">
        <v>237</v>
      </c>
      <c r="Q18" s="219" t="s">
        <v>238</v>
      </c>
      <c r="R18" s="161"/>
      <c r="Z18" s="161"/>
      <c r="AA18" s="161"/>
      <c r="AB18" s="161"/>
      <c r="AC18" s="161"/>
      <c r="AD18" s="161"/>
      <c r="AE18" s="161"/>
    </row>
    <row r="19" spans="1:31" ht="18.95" customHeight="1" x14ac:dyDescent="0.2">
      <c r="A19" s="261" t="s">
        <v>219</v>
      </c>
      <c r="B19" s="262"/>
      <c r="C19" s="209"/>
      <c r="D19" s="288" t="s">
        <v>231</v>
      </c>
      <c r="E19" s="199" t="s">
        <v>231</v>
      </c>
      <c r="F19" s="199" t="s">
        <v>231</v>
      </c>
      <c r="G19" s="202">
        <f>Prep!H3</f>
        <v>500</v>
      </c>
      <c r="H19" s="202">
        <f>Prep!I3</f>
        <v>95</v>
      </c>
      <c r="I19" s="200">
        <f t="shared" ref="I19:I24" si="2">G19*24*(H19/100)</f>
        <v>11400</v>
      </c>
      <c r="J19" s="217">
        <v>1</v>
      </c>
      <c r="K19" s="200">
        <f t="shared" ref="K19:K26" si="3">I19*J19</f>
        <v>11400</v>
      </c>
      <c r="L19" s="202">
        <f>Prep!J3</f>
        <v>5</v>
      </c>
      <c r="M19" s="202">
        <f>Prep!K3</f>
        <v>50</v>
      </c>
      <c r="N19" s="202">
        <f t="shared" ref="N19:N24" si="4">L19*(M19/100)</f>
        <v>2.5</v>
      </c>
      <c r="O19" s="202">
        <f t="shared" ref="O19:O26" si="5">N19*24*(H19/100)</f>
        <v>57</v>
      </c>
      <c r="P19" s="314">
        <f>(O19/K19)*J15</f>
        <v>5.7584146464645849E-3</v>
      </c>
      <c r="Q19" s="326">
        <f>SUM(P19:P25)</f>
        <v>0.63580709192554541</v>
      </c>
      <c r="R19" s="161"/>
      <c r="Z19" s="161"/>
      <c r="AA19" s="161"/>
      <c r="AB19" s="161"/>
      <c r="AC19" s="161"/>
      <c r="AD19" s="161"/>
      <c r="AE19" s="161"/>
    </row>
    <row r="20" spans="1:31" ht="18.95" customHeight="1" x14ac:dyDescent="0.2">
      <c r="A20" s="261" t="s">
        <v>277</v>
      </c>
      <c r="B20" s="262"/>
      <c r="C20" s="209"/>
      <c r="D20" s="289">
        <f>Prep!D10</f>
        <v>1.1999999999999999E-3</v>
      </c>
      <c r="E20" s="202">
        <f>Prep!G10</f>
        <v>10.199999999999999</v>
      </c>
      <c r="F20" s="202">
        <f>Prep!H10</f>
        <v>99</v>
      </c>
      <c r="G20" s="202">
        <f t="shared" ref="G20:G22" si="6">E20*60*(F20/100)/(768*D20*2.2045)</f>
        <v>298.21813336357451</v>
      </c>
      <c r="H20" s="202">
        <f>Prep!I10</f>
        <v>95</v>
      </c>
      <c r="I20" s="200">
        <f t="shared" ref="I20:I21" si="7">G20*24*(H20/100)</f>
        <v>6799.3734406894991</v>
      </c>
      <c r="J20" s="227">
        <f>Prep!C10</f>
        <v>1</v>
      </c>
      <c r="K20" s="201">
        <f t="shared" ref="K20:K21" si="8">I20*J20</f>
        <v>6799.3734406894991</v>
      </c>
      <c r="L20" s="202">
        <f>Prep!J10</f>
        <v>82.54</v>
      </c>
      <c r="M20" s="202">
        <f>Prep!K10</f>
        <v>60</v>
      </c>
      <c r="N20" s="202">
        <f t="shared" ref="N20:N21" si="9">L20*(M20/100)</f>
        <v>49.524000000000001</v>
      </c>
      <c r="O20" s="202">
        <f t="shared" ref="O20:O21" si="10">N20*24*(H20/100)</f>
        <v>1129.1471999999999</v>
      </c>
      <c r="P20" s="203">
        <f>(O20/K20)*K15</f>
        <v>0.1845618396200604</v>
      </c>
      <c r="Q20" s="326"/>
      <c r="R20" s="162"/>
      <c r="Z20" s="161"/>
      <c r="AA20" s="161"/>
      <c r="AB20" s="161"/>
      <c r="AC20" s="161"/>
      <c r="AD20" s="161"/>
      <c r="AE20" s="161"/>
    </row>
    <row r="21" spans="1:31" ht="18.95" customHeight="1" x14ac:dyDescent="0.2">
      <c r="A21" s="261" t="s">
        <v>4</v>
      </c>
      <c r="B21" s="262"/>
      <c r="C21" s="209"/>
      <c r="D21" s="290">
        <f>Prep!D18</f>
        <v>0.12</v>
      </c>
      <c r="E21" s="192">
        <f>Prep!G18</f>
        <v>130</v>
      </c>
      <c r="F21" s="202">
        <f>Prep!H18</f>
        <v>99</v>
      </c>
      <c r="G21" s="202">
        <f t="shared" ref="G21" si="11">E21*60*(F21/100)/(768*D21*2.2045)</f>
        <v>38.008193467906558</v>
      </c>
      <c r="H21" s="202">
        <f>Prep!I18</f>
        <v>95</v>
      </c>
      <c r="I21" s="200">
        <f t="shared" si="7"/>
        <v>866.58681106826953</v>
      </c>
      <c r="J21" s="227">
        <f>Prep!C18</f>
        <v>1</v>
      </c>
      <c r="K21" s="201">
        <f t="shared" si="8"/>
        <v>866.58681106826953</v>
      </c>
      <c r="L21" s="202">
        <f>Prep!J18</f>
        <v>11.700000000000001</v>
      </c>
      <c r="M21" s="202">
        <f>Prep!K18</f>
        <v>65</v>
      </c>
      <c r="N21" s="202">
        <f t="shared" si="9"/>
        <v>7.6050000000000013</v>
      </c>
      <c r="O21" s="202">
        <f t="shared" si="10"/>
        <v>173.39400000000003</v>
      </c>
      <c r="P21" s="203">
        <f>(O21/K21)*L15</f>
        <v>0.2056951093887677</v>
      </c>
      <c r="Q21" s="326"/>
      <c r="R21" s="162"/>
      <c r="Z21" s="161"/>
      <c r="AA21" s="161"/>
      <c r="AB21" s="161"/>
      <c r="AC21" s="161"/>
      <c r="AD21" s="161"/>
      <c r="AE21" s="161"/>
    </row>
    <row r="22" spans="1:31" ht="18.95" customHeight="1" x14ac:dyDescent="0.2">
      <c r="A22" s="261" t="s">
        <v>5</v>
      </c>
      <c r="B22" s="262" t="s">
        <v>27</v>
      </c>
      <c r="C22" s="209"/>
      <c r="D22" s="290">
        <f>Prep!D23</f>
        <v>0.12</v>
      </c>
      <c r="E22" s="202">
        <f>Prep!G23</f>
        <v>350</v>
      </c>
      <c r="F22" s="202">
        <f>Prep!H23</f>
        <v>85</v>
      </c>
      <c r="G22" s="202">
        <f t="shared" si="6"/>
        <v>87.85887767445378</v>
      </c>
      <c r="H22" s="202">
        <f>Prep!I23</f>
        <v>95</v>
      </c>
      <c r="I22" s="200">
        <f t="shared" ref="I22" si="12">G22*24*(H22/100)</f>
        <v>2003.1824109775462</v>
      </c>
      <c r="J22" s="227">
        <f>Prep!C23</f>
        <v>2</v>
      </c>
      <c r="K22" s="201">
        <f t="shared" ref="K22" si="13">I22*J22</f>
        <v>4006.3648219550923</v>
      </c>
      <c r="L22" s="202">
        <f>Prep!J23</f>
        <v>13.6</v>
      </c>
      <c r="M22" s="202">
        <f>Prep!K23</f>
        <v>50</v>
      </c>
      <c r="N22" s="202">
        <f t="shared" ref="N22" si="14">L22*(M22/100)</f>
        <v>6.8</v>
      </c>
      <c r="O22" s="202">
        <f t="shared" ref="O22" si="15">N22*24*(H22/100)</f>
        <v>155.04</v>
      </c>
      <c r="P22" s="203">
        <f>(O22/K22)*M15</f>
        <v>3.9583876435341746E-2</v>
      </c>
      <c r="Q22" s="326"/>
      <c r="R22" s="162"/>
      <c r="Z22" s="161"/>
      <c r="AA22" s="161"/>
      <c r="AB22" s="161"/>
      <c r="AC22" s="161"/>
      <c r="AD22" s="161"/>
      <c r="AE22" s="161"/>
    </row>
    <row r="23" spans="1:31" ht="18.95" customHeight="1" x14ac:dyDescent="0.2">
      <c r="A23" s="261"/>
      <c r="B23" s="262" t="s">
        <v>28</v>
      </c>
      <c r="C23" s="209"/>
      <c r="D23" s="205">
        <f>Prep!D30</f>
        <v>0.12</v>
      </c>
      <c r="E23" s="202">
        <f>Prep!G30</f>
        <v>350</v>
      </c>
      <c r="F23" s="202">
        <f>Prep!H30</f>
        <v>85</v>
      </c>
      <c r="G23" s="202">
        <f t="shared" ref="G23:G24" si="16">E23*60*(F23/100)/(768*D23*2.2045)</f>
        <v>87.85887767445378</v>
      </c>
      <c r="H23" s="202">
        <f>Prep!I30</f>
        <v>95</v>
      </c>
      <c r="I23" s="200">
        <f t="shared" si="2"/>
        <v>2003.1824109775462</v>
      </c>
      <c r="J23" s="227">
        <f>Prep!C30</f>
        <v>1</v>
      </c>
      <c r="K23" s="201">
        <f t="shared" si="3"/>
        <v>2003.1824109775462</v>
      </c>
      <c r="L23" s="202">
        <f>Prep!J30</f>
        <v>9.1333333333333329</v>
      </c>
      <c r="M23" s="202">
        <f>Prep!K30</f>
        <v>61.666666666666664</v>
      </c>
      <c r="N23" s="202">
        <f t="shared" si="4"/>
        <v>5.6322222222222225</v>
      </c>
      <c r="O23" s="202">
        <f t="shared" si="5"/>
        <v>128.41466666666668</v>
      </c>
      <c r="P23" s="203">
        <f>(O23/K23)*N15</f>
        <v>6.5408183979287743E-2</v>
      </c>
      <c r="Q23" s="326"/>
      <c r="R23" s="162"/>
      <c r="Z23" s="161"/>
      <c r="AA23" s="161"/>
      <c r="AB23" s="161"/>
      <c r="AC23" s="161"/>
      <c r="AD23" s="161"/>
      <c r="AE23" s="161"/>
    </row>
    <row r="24" spans="1:31" ht="18.95" customHeight="1" x14ac:dyDescent="0.2">
      <c r="A24" s="261" t="s">
        <v>273</v>
      </c>
      <c r="B24" s="262" t="s">
        <v>250</v>
      </c>
      <c r="C24" s="209"/>
      <c r="D24" s="205">
        <f>Prep!D38</f>
        <v>1</v>
      </c>
      <c r="E24" s="202">
        <f>Prep!G38</f>
        <v>18.540183065767593</v>
      </c>
      <c r="F24" s="202">
        <f>Prep!H38</f>
        <v>80</v>
      </c>
      <c r="G24" s="192">
        <f t="shared" si="16"/>
        <v>0.52563458453639134</v>
      </c>
      <c r="H24" s="202">
        <f>Prep!I38</f>
        <v>95</v>
      </c>
      <c r="I24" s="200">
        <f t="shared" si="2"/>
        <v>11.984468527429721</v>
      </c>
      <c r="J24" s="259">
        <f>Prep!C38</f>
        <v>144</v>
      </c>
      <c r="K24" s="202">
        <f t="shared" si="3"/>
        <v>1725.7634679498799</v>
      </c>
      <c r="L24" s="202">
        <f>Prep!J38</f>
        <v>11.5</v>
      </c>
      <c r="M24" s="202">
        <f>Prep!K38</f>
        <v>80</v>
      </c>
      <c r="N24" s="202">
        <f t="shared" si="4"/>
        <v>9.2000000000000011</v>
      </c>
      <c r="O24" s="202">
        <f t="shared" si="5"/>
        <v>209.76</v>
      </c>
      <c r="P24" s="203">
        <f>(O24/K24)*O15</f>
        <v>0.12370642835628266</v>
      </c>
      <c r="Q24" s="326"/>
      <c r="R24" s="162"/>
      <c r="Z24" s="161"/>
      <c r="AA24" s="161"/>
      <c r="AB24" s="161"/>
      <c r="AC24" s="161"/>
      <c r="AD24" s="161"/>
      <c r="AE24" s="161"/>
    </row>
    <row r="25" spans="1:31" ht="18.95" customHeight="1" x14ac:dyDescent="0.2">
      <c r="A25" s="243"/>
      <c r="B25" s="262" t="s">
        <v>243</v>
      </c>
      <c r="C25" s="244"/>
      <c r="D25" s="238"/>
      <c r="E25" s="237"/>
      <c r="F25" s="238"/>
      <c r="G25" s="284"/>
      <c r="H25" s="237">
        <f>Prep!I38</f>
        <v>95</v>
      </c>
      <c r="I25" s="201"/>
      <c r="J25" s="285"/>
      <c r="K25" s="237"/>
      <c r="L25" s="237">
        <f>Prep!L38</f>
        <v>1.5</v>
      </c>
      <c r="M25" s="237">
        <f>Prep!M38</f>
        <v>55</v>
      </c>
      <c r="N25" s="202">
        <f t="shared" ref="N25" si="17">L25*(M25/100)</f>
        <v>0.82500000000000007</v>
      </c>
      <c r="O25" s="202">
        <f t="shared" ref="O25" si="18">N25*24*(H25/100)</f>
        <v>18.809999999999999</v>
      </c>
      <c r="P25" s="203">
        <f>(O25/K24)*O15</f>
        <v>1.1093239499340565E-2</v>
      </c>
      <c r="Q25" s="326"/>
      <c r="R25" s="162"/>
      <c r="Z25" s="161"/>
      <c r="AA25" s="161"/>
      <c r="AB25" s="161"/>
      <c r="AC25" s="161"/>
      <c r="AD25" s="161"/>
      <c r="AE25" s="161"/>
    </row>
    <row r="26" spans="1:31" ht="18.95" customHeight="1" x14ac:dyDescent="0.25">
      <c r="A26" s="261" t="s">
        <v>144</v>
      </c>
      <c r="B26" s="262" t="s">
        <v>250</v>
      </c>
      <c r="C26" s="209"/>
      <c r="D26" s="238">
        <f>Spin!D22</f>
        <v>41.300000000000004</v>
      </c>
      <c r="E26" s="195" t="s">
        <v>231</v>
      </c>
      <c r="F26" s="238" t="s">
        <v>231</v>
      </c>
      <c r="G26" s="238" t="s">
        <v>231</v>
      </c>
      <c r="H26" s="237">
        <f>Spin!I22</f>
        <v>95</v>
      </c>
      <c r="I26" s="201">
        <f>(Spin!H22*3)/1000*(H26/100)</f>
        <v>0.33645420695741296</v>
      </c>
      <c r="J26" s="285">
        <f>Spin!C22</f>
        <v>1140.9230769230769</v>
      </c>
      <c r="K26" s="202">
        <f t="shared" si="3"/>
        <v>383.86836904556532</v>
      </c>
      <c r="L26" s="195" t="s">
        <v>231</v>
      </c>
      <c r="M26" s="195" t="s">
        <v>231</v>
      </c>
      <c r="N26" s="260">
        <f>((7.5+(80/Spin!D22)+(500/(Spin!F22*Spin!F22)))*(Spin!E22/10000)*(Spin!E22/10000)*Spin!J22)*Spin!C22/1000</f>
        <v>29.845485248189021</v>
      </c>
      <c r="O26" s="237">
        <f t="shared" si="5"/>
        <v>680.47706365870965</v>
      </c>
      <c r="P26" s="239">
        <f>(O26/K26)*P15</f>
        <v>1.7771261582577302</v>
      </c>
      <c r="Q26" s="354">
        <f>SUM(P26:P28)</f>
        <v>2.0515257749680882</v>
      </c>
      <c r="R26" s="162"/>
      <c r="Z26" s="161"/>
      <c r="AA26" s="161"/>
      <c r="AB26" s="161"/>
      <c r="AC26" s="161"/>
      <c r="AD26" s="161"/>
      <c r="AE26" s="161"/>
    </row>
    <row r="27" spans="1:31" ht="18.95" customHeight="1" x14ac:dyDescent="0.2">
      <c r="A27" s="261"/>
      <c r="B27" s="262" t="s">
        <v>305</v>
      </c>
      <c r="C27" s="209"/>
      <c r="D27" s="291" t="s">
        <v>231</v>
      </c>
      <c r="E27" s="206" t="s">
        <v>231</v>
      </c>
      <c r="F27" s="206" t="s">
        <v>231</v>
      </c>
      <c r="G27" s="206" t="s">
        <v>231</v>
      </c>
      <c r="H27" s="237">
        <f>Spin!I22</f>
        <v>95</v>
      </c>
      <c r="I27" s="206" t="s">
        <v>231</v>
      </c>
      <c r="J27" s="206" t="s">
        <v>231</v>
      </c>
      <c r="K27" s="206" t="s">
        <v>231</v>
      </c>
      <c r="L27" s="202">
        <f>Spin!K22</f>
        <v>5.275080906148867</v>
      </c>
      <c r="M27" s="205">
        <f>Spin!L22</f>
        <v>70</v>
      </c>
      <c r="N27" s="202">
        <f t="shared" ref="N27:N31" si="19">L27*(M27/100)</f>
        <v>3.6925566343042067</v>
      </c>
      <c r="O27" s="202">
        <f>N27*24*(H27/100)</f>
        <v>84.190291262135901</v>
      </c>
      <c r="P27" s="203">
        <f>(O27/K26)*P15</f>
        <v>0.21987040690076598</v>
      </c>
      <c r="Q27" s="354"/>
      <c r="R27" s="162"/>
      <c r="Z27" s="161"/>
      <c r="AA27" s="161"/>
      <c r="AB27" s="161"/>
      <c r="AC27" s="161"/>
      <c r="AD27" s="161"/>
      <c r="AE27" s="161"/>
    </row>
    <row r="28" spans="1:31" ht="18.95" customHeight="1" x14ac:dyDescent="0.2">
      <c r="A28" s="261"/>
      <c r="B28" s="262" t="s">
        <v>243</v>
      </c>
      <c r="C28" s="209"/>
      <c r="D28" s="291" t="s">
        <v>231</v>
      </c>
      <c r="E28" s="206" t="s">
        <v>231</v>
      </c>
      <c r="F28" s="206" t="s">
        <v>231</v>
      </c>
      <c r="G28" s="206" t="s">
        <v>231</v>
      </c>
      <c r="H28" s="237">
        <f>Spin!I22</f>
        <v>95</v>
      </c>
      <c r="I28" s="206" t="s">
        <v>231</v>
      </c>
      <c r="J28" s="206" t="s">
        <v>231</v>
      </c>
      <c r="K28" s="206" t="s">
        <v>231</v>
      </c>
      <c r="L28" s="202">
        <f>Spin!M22</f>
        <v>1.6650485436893203</v>
      </c>
      <c r="M28" s="205">
        <f>Spin!N22</f>
        <v>55</v>
      </c>
      <c r="N28" s="202">
        <f t="shared" si="19"/>
        <v>0.91577669902912628</v>
      </c>
      <c r="O28" s="202">
        <f>N28*24*(H28/100)</f>
        <v>20.879708737864078</v>
      </c>
      <c r="P28" s="203">
        <f>(O28/K26)*P15</f>
        <v>5.4529209809591826E-2</v>
      </c>
      <c r="Q28" s="355"/>
      <c r="R28" s="162"/>
      <c r="Z28" s="161"/>
      <c r="AA28" s="161"/>
      <c r="AB28" s="161"/>
      <c r="AC28" s="161"/>
      <c r="AD28" s="161"/>
      <c r="AE28" s="161"/>
    </row>
    <row r="29" spans="1:31" ht="18.95" customHeight="1" x14ac:dyDescent="0.2">
      <c r="A29" s="261" t="s">
        <v>278</v>
      </c>
      <c r="B29" s="262" t="s">
        <v>250</v>
      </c>
      <c r="C29" s="209"/>
      <c r="D29" s="205">
        <f>AConer!D9</f>
        <v>41.3</v>
      </c>
      <c r="E29" s="202">
        <f>AConer!E9</f>
        <v>1425</v>
      </c>
      <c r="F29" s="205">
        <f>AConer!F9</f>
        <v>88</v>
      </c>
      <c r="G29" s="192">
        <f>E29*60*(F29/100)/(768*AConer!D9*2.2045)</f>
        <v>1.0760375129673676</v>
      </c>
      <c r="H29" s="237">
        <f>AConer!G9</f>
        <v>95</v>
      </c>
      <c r="I29" s="200">
        <f>G29*24*(H29/100)</f>
        <v>24.533655295655979</v>
      </c>
      <c r="J29" s="202">
        <f>AConer!C9</f>
        <v>60</v>
      </c>
      <c r="K29" s="202">
        <f>I29*J29</f>
        <v>1472.0193177393587</v>
      </c>
      <c r="L29" s="202">
        <f>AConer!H9</f>
        <v>49.35</v>
      </c>
      <c r="M29" s="205">
        <f>AConer!I9</f>
        <v>60</v>
      </c>
      <c r="N29" s="202">
        <f t="shared" si="19"/>
        <v>29.61</v>
      </c>
      <c r="O29" s="202">
        <f t="shared" ref="O29:O30" si="20">N29*24*(H29/100)</f>
        <v>675.10799999999995</v>
      </c>
      <c r="P29" s="203">
        <f>(O29/K29)*Q15</f>
        <v>0.45862713339712918</v>
      </c>
      <c r="Q29" s="353">
        <f>SUM(P29:P31)</f>
        <v>0.55930515997873476</v>
      </c>
      <c r="R29" s="162"/>
      <c r="Z29" s="161"/>
      <c r="AA29" s="161"/>
      <c r="AB29" s="161"/>
      <c r="AC29" s="161"/>
      <c r="AD29" s="161"/>
      <c r="AE29" s="161"/>
    </row>
    <row r="30" spans="1:31" ht="18.95" customHeight="1" x14ac:dyDescent="0.2">
      <c r="A30" s="261"/>
      <c r="B30" s="262" t="s">
        <v>305</v>
      </c>
      <c r="C30" s="209"/>
      <c r="D30" s="291" t="s">
        <v>231</v>
      </c>
      <c r="E30" s="206" t="s">
        <v>231</v>
      </c>
      <c r="F30" s="206" t="s">
        <v>231</v>
      </c>
      <c r="G30" s="206" t="s">
        <v>231</v>
      </c>
      <c r="H30" s="237">
        <f>AConer!G9</f>
        <v>95</v>
      </c>
      <c r="I30" s="206" t="s">
        <v>231</v>
      </c>
      <c r="J30" s="206" t="s">
        <v>231</v>
      </c>
      <c r="K30" s="206" t="s">
        <v>231</v>
      </c>
      <c r="L30" s="202">
        <f>AConer!J9</f>
        <v>8</v>
      </c>
      <c r="M30" s="202">
        <f>AConer!K9</f>
        <v>70</v>
      </c>
      <c r="N30" s="202">
        <f t="shared" si="19"/>
        <v>5.6</v>
      </c>
      <c r="O30" s="202">
        <f t="shared" si="20"/>
        <v>127.67999999999998</v>
      </c>
      <c r="P30" s="203">
        <f>(O30/K29)*Q15</f>
        <v>8.6737992131844757E-2</v>
      </c>
      <c r="Q30" s="354"/>
      <c r="R30" s="162"/>
      <c r="Z30" s="161"/>
      <c r="AA30" s="161"/>
      <c r="AB30" s="161"/>
      <c r="AC30" s="161"/>
      <c r="AD30" s="161"/>
      <c r="AE30" s="161"/>
    </row>
    <row r="31" spans="1:31" ht="18.95" customHeight="1" x14ac:dyDescent="0.2">
      <c r="A31" s="261" t="s">
        <v>276</v>
      </c>
      <c r="B31" s="262" t="s">
        <v>243</v>
      </c>
      <c r="C31" s="209"/>
      <c r="D31" s="288" t="s">
        <v>231</v>
      </c>
      <c r="E31" s="198" t="s">
        <v>231</v>
      </c>
      <c r="F31" s="198" t="s">
        <v>231</v>
      </c>
      <c r="G31" s="198" t="s">
        <v>231</v>
      </c>
      <c r="H31" s="237">
        <f>AConer!G9</f>
        <v>95</v>
      </c>
      <c r="I31" s="198" t="s">
        <v>231</v>
      </c>
      <c r="J31" s="198" t="s">
        <v>231</v>
      </c>
      <c r="K31" s="198" t="s">
        <v>231</v>
      </c>
      <c r="L31" s="202">
        <f>AConer!L9</f>
        <v>1.5</v>
      </c>
      <c r="M31" s="205">
        <f>AConer!M9</f>
        <v>60</v>
      </c>
      <c r="N31" s="202">
        <f t="shared" si="19"/>
        <v>0.89999999999999991</v>
      </c>
      <c r="O31" s="202">
        <f>N31*24*(H31/100)</f>
        <v>20.519999999999996</v>
      </c>
      <c r="P31" s="203">
        <f>(O31/K29)*Q15</f>
        <v>1.3940034449760764E-2</v>
      </c>
      <c r="Q31" s="355"/>
      <c r="R31" s="162"/>
      <c r="Z31" s="161"/>
      <c r="AA31" s="161"/>
      <c r="AB31" s="161"/>
      <c r="AC31" s="161"/>
      <c r="AD31" s="161"/>
      <c r="AE31" s="161"/>
    </row>
    <row r="32" spans="1:31" ht="18.95" customHeight="1" x14ac:dyDescent="0.2">
      <c r="A32" s="330" t="s">
        <v>307</v>
      </c>
      <c r="B32" s="330"/>
      <c r="C32" s="330"/>
      <c r="D32" s="331"/>
      <c r="E32" s="331"/>
      <c r="F32" s="331"/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292">
        <f>SUM(Q19:Q31)</f>
        <v>3.2466380268723687</v>
      </c>
      <c r="R32" s="162"/>
      <c r="Z32" s="161"/>
      <c r="AA32" s="161"/>
      <c r="AB32" s="161"/>
      <c r="AC32" s="161"/>
      <c r="AD32" s="161"/>
      <c r="AE32" s="161"/>
    </row>
    <row r="33" spans="1:31" ht="18.95" customHeight="1" x14ac:dyDescent="0.2">
      <c r="A33" s="277"/>
      <c r="B33" s="277"/>
      <c r="C33" s="277"/>
      <c r="D33" s="278"/>
      <c r="E33" s="278"/>
      <c r="F33" s="278"/>
      <c r="G33" s="278"/>
      <c r="H33" s="278"/>
      <c r="I33" s="278"/>
      <c r="J33" s="278"/>
      <c r="K33" s="278"/>
      <c r="L33" s="279"/>
      <c r="M33" s="279"/>
      <c r="N33" s="279"/>
      <c r="O33" s="279"/>
      <c r="P33" s="280"/>
      <c r="Q33" s="281"/>
      <c r="R33" s="162"/>
      <c r="Z33" s="161"/>
      <c r="AA33" s="161"/>
      <c r="AB33" s="161"/>
      <c r="AC33" s="161"/>
      <c r="AD33" s="161"/>
      <c r="AE33" s="161"/>
    </row>
    <row r="34" spans="1:31" ht="18.95" customHeight="1" x14ac:dyDescent="0.2">
      <c r="A34" s="360" t="s">
        <v>302</v>
      </c>
      <c r="B34" s="267" t="s">
        <v>295</v>
      </c>
      <c r="C34" s="267" t="s">
        <v>329</v>
      </c>
      <c r="D34" s="198"/>
      <c r="E34" s="198"/>
      <c r="F34" s="198"/>
      <c r="G34" s="198"/>
      <c r="H34" s="198"/>
      <c r="I34" s="198"/>
      <c r="J34" s="192">
        <f>Utilities!C3</f>
        <v>1</v>
      </c>
      <c r="K34" s="198"/>
      <c r="L34" s="202">
        <f>Utilities!D3</f>
        <v>55.77</v>
      </c>
      <c r="M34" s="202">
        <f>Utilities!E3</f>
        <v>70</v>
      </c>
      <c r="N34" s="202"/>
      <c r="O34" s="202">
        <f>Utilities!F3*$C$8/100</f>
        <v>936.93600000000004</v>
      </c>
      <c r="P34" s="203">
        <f>O34/$C$6</f>
        <v>0.18775185926154031</v>
      </c>
      <c r="Q34" s="353">
        <f>SUM(P34:P38)</f>
        <v>0.91943536458524788</v>
      </c>
      <c r="R34" s="162"/>
      <c r="Z34" s="161"/>
      <c r="AA34" s="161"/>
      <c r="AB34" s="161"/>
      <c r="AC34" s="161"/>
      <c r="AD34" s="161"/>
      <c r="AE34" s="161"/>
    </row>
    <row r="35" spans="1:31" ht="18.95" customHeight="1" x14ac:dyDescent="0.2">
      <c r="A35" s="361"/>
      <c r="B35" s="267" t="s">
        <v>297</v>
      </c>
      <c r="C35" s="267" t="s">
        <v>325</v>
      </c>
      <c r="D35" s="198"/>
      <c r="E35" s="198"/>
      <c r="F35" s="198"/>
      <c r="G35" s="198"/>
      <c r="H35" s="198"/>
      <c r="I35" s="198"/>
      <c r="J35" s="192">
        <f>Utilities!C4</f>
        <v>1</v>
      </c>
      <c r="K35" s="198"/>
      <c r="L35" s="202">
        <f>Utilities!D4</f>
        <v>33.700000000000003</v>
      </c>
      <c r="M35" s="202">
        <f>Utilities!E4</f>
        <v>70</v>
      </c>
      <c r="N35" s="202"/>
      <c r="O35" s="202">
        <f>Utilities!F4*$C$8/100</f>
        <v>566.16</v>
      </c>
      <c r="P35" s="203">
        <f t="shared" ref="P35:P38" si="21">O35/$C$6</f>
        <v>0.11345235175029421</v>
      </c>
      <c r="Q35" s="354"/>
      <c r="R35" s="162"/>
      <c r="Z35" s="161"/>
      <c r="AA35" s="161"/>
      <c r="AB35" s="161"/>
      <c r="AC35" s="161"/>
      <c r="AD35" s="161"/>
      <c r="AE35" s="161"/>
    </row>
    <row r="36" spans="1:31" ht="18.95" customHeight="1" x14ac:dyDescent="0.2">
      <c r="A36" s="361"/>
      <c r="B36" s="248" t="s">
        <v>298</v>
      </c>
      <c r="C36" s="267" t="s">
        <v>325</v>
      </c>
      <c r="D36" s="198"/>
      <c r="E36" s="198"/>
      <c r="F36" s="198"/>
      <c r="G36" s="198"/>
      <c r="H36" s="198"/>
      <c r="I36" s="198"/>
      <c r="J36" s="192">
        <f>Utilities!C5</f>
        <v>1</v>
      </c>
      <c r="K36" s="198"/>
      <c r="L36" s="202">
        <f>Utilities!D5</f>
        <v>74</v>
      </c>
      <c r="M36" s="202">
        <f>Utilities!E5</f>
        <v>70</v>
      </c>
      <c r="N36" s="202"/>
      <c r="O36" s="202">
        <f>Utilities!F5*$C$8/100</f>
        <v>1243.1999999999998</v>
      </c>
      <c r="P36" s="203">
        <f t="shared" si="21"/>
        <v>0.24912385844278251</v>
      </c>
      <c r="Q36" s="354"/>
      <c r="R36" s="162"/>
      <c r="Z36" s="161"/>
      <c r="AA36" s="161"/>
      <c r="AB36" s="161"/>
      <c r="AC36" s="161"/>
      <c r="AD36" s="161"/>
      <c r="AE36" s="161"/>
    </row>
    <row r="37" spans="1:31" ht="18.95" customHeight="1" x14ac:dyDescent="0.2">
      <c r="A37" s="361"/>
      <c r="B37" s="248" t="s">
        <v>223</v>
      </c>
      <c r="C37" s="267" t="s">
        <v>325</v>
      </c>
      <c r="D37" s="198"/>
      <c r="E37" s="198"/>
      <c r="F37" s="198"/>
      <c r="G37" s="198"/>
      <c r="H37" s="198"/>
      <c r="I37" s="198"/>
      <c r="J37" s="192">
        <f>Utilities!C6</f>
        <v>1</v>
      </c>
      <c r="K37" s="198"/>
      <c r="L37" s="202">
        <f>Utilities!D6</f>
        <v>87.64</v>
      </c>
      <c r="M37" s="202">
        <f>Utilities!E6</f>
        <v>70</v>
      </c>
      <c r="N37" s="202"/>
      <c r="O37" s="202">
        <f>Utilities!F6*$C$8/100</f>
        <v>1472.3519999999999</v>
      </c>
      <c r="P37" s="203">
        <f t="shared" si="21"/>
        <v>0.29504344532331706</v>
      </c>
      <c r="Q37" s="354"/>
      <c r="R37" s="162"/>
      <c r="Z37" s="161"/>
      <c r="AA37" s="161"/>
      <c r="AB37" s="161"/>
      <c r="AC37" s="161"/>
      <c r="AD37" s="161"/>
      <c r="AE37" s="161"/>
    </row>
    <row r="38" spans="1:31" ht="18.95" customHeight="1" x14ac:dyDescent="0.2">
      <c r="A38" s="361"/>
      <c r="B38" s="267" t="s">
        <v>299</v>
      </c>
      <c r="C38" s="267" t="s">
        <v>325</v>
      </c>
      <c r="D38" s="198"/>
      <c r="E38" s="198"/>
      <c r="F38" s="198"/>
      <c r="G38" s="198"/>
      <c r="H38" s="198"/>
      <c r="I38" s="198"/>
      <c r="J38" s="192">
        <f>Utilities!C7</f>
        <v>1</v>
      </c>
      <c r="K38" s="198"/>
      <c r="L38" s="202">
        <f>Utilities!D7</f>
        <v>22</v>
      </c>
      <c r="M38" s="202">
        <f>Utilities!E7</f>
        <v>70</v>
      </c>
      <c r="N38" s="202"/>
      <c r="O38" s="202">
        <f>Utilities!F7*$C$8/100</f>
        <v>369.6</v>
      </c>
      <c r="P38" s="203">
        <f t="shared" si="21"/>
        <v>7.4063849807313731E-2</v>
      </c>
      <c r="Q38" s="354"/>
      <c r="R38" s="162"/>
      <c r="Z38" s="161"/>
      <c r="AA38" s="161"/>
      <c r="AB38" s="161"/>
      <c r="AC38" s="161"/>
      <c r="AD38" s="161"/>
      <c r="AE38" s="161"/>
    </row>
    <row r="39" spans="1:31" ht="18.95" customHeight="1" x14ac:dyDescent="0.2">
      <c r="A39" s="362" t="s">
        <v>59</v>
      </c>
      <c r="B39" s="363"/>
      <c r="C39" s="363"/>
      <c r="D39" s="363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4"/>
      <c r="Q39" s="293">
        <f>Q34</f>
        <v>0.91943536458524788</v>
      </c>
      <c r="R39" s="162"/>
      <c r="Z39" s="161"/>
      <c r="AA39" s="161"/>
      <c r="AB39" s="161"/>
      <c r="AC39" s="161"/>
      <c r="AD39" s="161"/>
      <c r="AE39" s="161"/>
    </row>
    <row r="40" spans="1:31" ht="18.95" customHeight="1" x14ac:dyDescent="0.2">
      <c r="A40" s="327"/>
      <c r="B40" s="328"/>
      <c r="C40" s="328"/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8"/>
      <c r="P40" s="328"/>
      <c r="Q40" s="329"/>
      <c r="R40" s="162"/>
      <c r="Z40" s="161"/>
      <c r="AA40" s="161"/>
      <c r="AB40" s="161"/>
      <c r="AC40" s="161"/>
      <c r="AD40" s="161"/>
      <c r="AE40" s="161"/>
    </row>
    <row r="41" spans="1:31" ht="18.95" customHeight="1" x14ac:dyDescent="0.25">
      <c r="A41" s="357" t="s">
        <v>294</v>
      </c>
      <c r="B41" s="358"/>
      <c r="C41" s="358"/>
      <c r="D41" s="358"/>
      <c r="E41" s="358"/>
      <c r="F41" s="358"/>
      <c r="G41" s="358"/>
      <c r="H41" s="358"/>
      <c r="I41" s="358"/>
      <c r="J41" s="358"/>
      <c r="K41" s="358"/>
      <c r="L41" s="358"/>
      <c r="M41" s="358"/>
      <c r="N41" s="358"/>
      <c r="O41" s="358"/>
      <c r="P41" s="359"/>
      <c r="Q41" s="294">
        <f>Q32+Q39</f>
        <v>4.1660733914576165</v>
      </c>
      <c r="R41" s="240"/>
      <c r="Z41" s="161"/>
      <c r="AA41" s="161"/>
      <c r="AB41" s="161"/>
      <c r="AC41" s="161"/>
      <c r="AD41" s="161"/>
      <c r="AE41" s="161"/>
    </row>
    <row r="42" spans="1:31" ht="18.95" customHeight="1" x14ac:dyDescent="0.2">
      <c r="A42" s="356"/>
      <c r="B42" s="356"/>
      <c r="C42" s="356"/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6"/>
      <c r="P42" s="356"/>
      <c r="Q42" s="356"/>
      <c r="R42" s="162"/>
      <c r="S42" s="162"/>
      <c r="T42" s="162"/>
      <c r="U42" s="162"/>
      <c r="V42" s="161"/>
      <c r="W42" s="161"/>
      <c r="X42" s="161"/>
      <c r="Y42" s="161"/>
      <c r="Z42" s="161"/>
      <c r="AA42" s="161"/>
      <c r="AB42" s="161"/>
      <c r="AC42" s="161"/>
      <c r="AD42" s="161"/>
      <c r="AE42" s="161"/>
    </row>
    <row r="43" spans="1:31" ht="18.95" customHeight="1" x14ac:dyDescent="0.2">
      <c r="A43" s="352"/>
      <c r="B43" s="352"/>
      <c r="C43" s="352"/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2"/>
      <c r="P43" s="352"/>
      <c r="Q43" s="352"/>
      <c r="S43" s="162"/>
      <c r="T43" s="162"/>
      <c r="U43" s="162"/>
      <c r="V43" s="161"/>
      <c r="W43" s="161"/>
      <c r="X43" s="161"/>
      <c r="Y43" s="161"/>
      <c r="Z43" s="161"/>
      <c r="AA43" s="161"/>
      <c r="AB43" s="161"/>
      <c r="AC43" s="161"/>
      <c r="AD43" s="161"/>
      <c r="AE43" s="161"/>
    </row>
    <row r="44" spans="1:31" ht="18.95" customHeight="1" x14ac:dyDescent="0.2">
      <c r="A44" s="225"/>
      <c r="B44" s="225"/>
      <c r="C44" s="225"/>
      <c r="D44" s="225"/>
      <c r="E44" s="225"/>
      <c r="F44" s="225"/>
      <c r="G44" s="225"/>
      <c r="H44" s="225"/>
      <c r="I44" s="225"/>
      <c r="J44" s="225"/>
      <c r="K44" s="225"/>
      <c r="L44" s="225"/>
      <c r="M44" s="225"/>
      <c r="N44" s="225"/>
      <c r="O44" s="225"/>
      <c r="P44" s="225"/>
      <c r="Q44" s="225"/>
      <c r="U44" s="162"/>
      <c r="V44" s="161"/>
      <c r="W44" s="161"/>
      <c r="X44" s="161"/>
      <c r="Y44" s="161"/>
      <c r="Z44" s="161"/>
      <c r="AA44" s="161"/>
      <c r="AB44" s="161"/>
      <c r="AC44" s="161"/>
      <c r="AD44" s="161"/>
      <c r="AE44" s="161"/>
    </row>
    <row r="45" spans="1:31" ht="18.95" customHeight="1" x14ac:dyDescent="0.2">
      <c r="U45" s="162"/>
      <c r="V45" s="161"/>
      <c r="W45" s="161"/>
      <c r="X45" s="161"/>
      <c r="Y45" s="161"/>
      <c r="Z45" s="161"/>
      <c r="AA45" s="161"/>
      <c r="AB45" s="161"/>
      <c r="AC45" s="161"/>
      <c r="AD45" s="161"/>
      <c r="AE45" s="161"/>
    </row>
    <row r="46" spans="1:31" ht="18.95" customHeight="1" x14ac:dyDescent="0.2">
      <c r="U46" s="162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</row>
    <row r="47" spans="1:31" ht="18.95" customHeight="1" x14ac:dyDescent="0.2">
      <c r="U47" s="162"/>
      <c r="V47" s="161"/>
      <c r="W47" s="161"/>
      <c r="X47" s="161"/>
      <c r="Y47" s="161"/>
      <c r="Z47" s="161"/>
      <c r="AA47" s="161"/>
      <c r="AB47" s="161"/>
      <c r="AC47" s="161"/>
      <c r="AD47" s="161"/>
      <c r="AE47" s="161"/>
    </row>
    <row r="48" spans="1:31" ht="18.95" customHeight="1" x14ac:dyDescent="0.2">
      <c r="U48" s="162"/>
      <c r="V48" s="161"/>
      <c r="W48" s="161"/>
      <c r="X48" s="161"/>
      <c r="Y48" s="161"/>
      <c r="Z48" s="161"/>
      <c r="AA48" s="161"/>
      <c r="AB48" s="161"/>
      <c r="AC48" s="161"/>
      <c r="AD48" s="161"/>
      <c r="AE48" s="161"/>
    </row>
    <row r="49" spans="18:31" ht="18.95" customHeight="1" x14ac:dyDescent="0.2">
      <c r="U49" s="162"/>
      <c r="V49" s="161"/>
      <c r="W49" s="161"/>
      <c r="X49" s="161"/>
      <c r="Y49" s="161"/>
      <c r="Z49" s="161"/>
      <c r="AA49" s="161"/>
      <c r="AB49" s="161"/>
      <c r="AC49" s="161"/>
      <c r="AD49" s="161"/>
      <c r="AE49" s="161"/>
    </row>
    <row r="50" spans="18:31" ht="18.95" customHeight="1" x14ac:dyDescent="0.2">
      <c r="U50" s="162"/>
      <c r="V50" s="161"/>
      <c r="W50" s="161"/>
      <c r="X50" s="161"/>
      <c r="Y50" s="161"/>
      <c r="Z50" s="161"/>
      <c r="AA50" s="161"/>
      <c r="AB50" s="161"/>
      <c r="AC50" s="161"/>
      <c r="AD50" s="161"/>
      <c r="AE50" s="161"/>
    </row>
    <row r="51" spans="18:31" ht="18.95" customHeight="1" x14ac:dyDescent="0.2">
      <c r="U51" s="162"/>
      <c r="V51" s="161"/>
      <c r="W51" s="161"/>
      <c r="X51" s="161"/>
      <c r="Y51" s="161"/>
      <c r="Z51" s="161"/>
      <c r="AA51" s="161"/>
      <c r="AB51" s="161"/>
      <c r="AC51" s="161"/>
      <c r="AD51" s="161"/>
      <c r="AE51" s="161"/>
    </row>
    <row r="52" spans="18:31" ht="18.95" customHeight="1" x14ac:dyDescent="0.2">
      <c r="U52" s="162"/>
      <c r="V52" s="161"/>
      <c r="W52" s="161"/>
      <c r="X52" s="161"/>
      <c r="Y52" s="161"/>
      <c r="Z52" s="161"/>
      <c r="AA52" s="161"/>
      <c r="AB52" s="161"/>
      <c r="AC52" s="161"/>
      <c r="AD52" s="161"/>
      <c r="AE52" s="161"/>
    </row>
    <row r="53" spans="18:31" ht="18.95" customHeight="1" x14ac:dyDescent="0.2">
      <c r="U53" s="162"/>
      <c r="V53" s="161"/>
      <c r="W53" s="161"/>
      <c r="X53" s="161"/>
      <c r="Y53" s="161"/>
      <c r="Z53" s="161"/>
      <c r="AA53" s="161"/>
      <c r="AB53" s="161"/>
      <c r="AC53" s="161"/>
      <c r="AD53" s="161"/>
      <c r="AE53" s="161"/>
    </row>
    <row r="54" spans="18:31" ht="18.95" customHeight="1" x14ac:dyDescent="0.2">
      <c r="U54" s="162"/>
      <c r="V54" s="161"/>
      <c r="W54" s="161"/>
      <c r="X54" s="161"/>
      <c r="Y54" s="161"/>
      <c r="Z54" s="161"/>
      <c r="AA54" s="161"/>
      <c r="AB54" s="161"/>
      <c r="AC54" s="161"/>
      <c r="AD54" s="161"/>
      <c r="AE54" s="161"/>
    </row>
    <row r="55" spans="18:31" ht="18.95" customHeight="1" x14ac:dyDescent="0.2">
      <c r="U55" s="162"/>
      <c r="V55" s="161"/>
      <c r="W55" s="161"/>
      <c r="X55" s="161"/>
      <c r="Y55" s="161"/>
      <c r="Z55" s="161"/>
      <c r="AA55" s="161"/>
      <c r="AB55" s="161"/>
      <c r="AC55" s="161"/>
      <c r="AD55" s="161"/>
      <c r="AE55" s="161"/>
    </row>
    <row r="56" spans="18:31" ht="18.95" customHeight="1" x14ac:dyDescent="0.2">
      <c r="U56" s="162"/>
      <c r="V56" s="161"/>
      <c r="W56" s="161"/>
      <c r="X56" s="161"/>
      <c r="Y56" s="161"/>
      <c r="Z56" s="161"/>
      <c r="AA56" s="161"/>
      <c r="AB56" s="161"/>
      <c r="AC56" s="161"/>
      <c r="AD56" s="161"/>
      <c r="AE56" s="161"/>
    </row>
    <row r="57" spans="18:31" ht="18.95" customHeight="1" x14ac:dyDescent="0.2">
      <c r="U57" s="162"/>
      <c r="V57" s="161"/>
      <c r="W57" s="161"/>
      <c r="X57" s="161"/>
      <c r="Y57" s="161"/>
      <c r="Z57" s="161"/>
      <c r="AA57" s="161"/>
      <c r="AB57" s="161"/>
      <c r="AC57" s="161"/>
      <c r="AD57" s="161"/>
      <c r="AE57" s="161"/>
    </row>
    <row r="58" spans="18:31" ht="18.95" customHeight="1" x14ac:dyDescent="0.2">
      <c r="U58" s="162"/>
      <c r="V58" s="161"/>
      <c r="W58" s="161"/>
      <c r="X58" s="161"/>
      <c r="Y58" s="161"/>
      <c r="Z58" s="161"/>
      <c r="AA58" s="161"/>
      <c r="AB58" s="161"/>
      <c r="AC58" s="161"/>
      <c r="AD58" s="161"/>
      <c r="AE58" s="161"/>
    </row>
    <row r="59" spans="18:31" ht="18.95" customHeight="1" x14ac:dyDescent="0.2">
      <c r="U59" s="162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</row>
    <row r="60" spans="18:31" ht="18.95" customHeight="1" x14ac:dyDescent="0.2">
      <c r="U60" s="162"/>
      <c r="V60" s="161"/>
      <c r="W60" s="161"/>
      <c r="X60" s="161"/>
      <c r="Y60" s="161"/>
      <c r="Z60" s="161"/>
      <c r="AA60" s="161"/>
      <c r="AB60" s="161"/>
      <c r="AC60" s="161"/>
      <c r="AD60" s="161"/>
      <c r="AE60" s="161"/>
    </row>
    <row r="61" spans="18:31" ht="18.95" customHeight="1" x14ac:dyDescent="0.2">
      <c r="U61" s="162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</row>
    <row r="62" spans="18:31" ht="18.95" customHeight="1" x14ac:dyDescent="0.2">
      <c r="U62" s="162"/>
      <c r="V62" s="161"/>
      <c r="W62" s="161"/>
      <c r="X62" s="161"/>
      <c r="Y62" s="161"/>
      <c r="Z62" s="161"/>
      <c r="AA62" s="161"/>
      <c r="AB62" s="161"/>
      <c r="AC62" s="161"/>
      <c r="AD62" s="161"/>
      <c r="AE62" s="161"/>
    </row>
    <row r="63" spans="18:31" ht="18.95" customHeight="1" x14ac:dyDescent="0.2">
      <c r="R63" s="161"/>
      <c r="U63" s="162"/>
      <c r="V63" s="161"/>
      <c r="W63" s="161"/>
      <c r="X63" s="161"/>
      <c r="Y63" s="161"/>
      <c r="Z63" s="161"/>
      <c r="AA63" s="161"/>
      <c r="AB63" s="161"/>
      <c r="AC63" s="161"/>
      <c r="AD63" s="161"/>
      <c r="AE63" s="161"/>
    </row>
    <row r="64" spans="18:31" ht="18.95" customHeight="1" x14ac:dyDescent="0.2">
      <c r="R64" s="161"/>
      <c r="S64" s="162"/>
      <c r="T64" s="162"/>
      <c r="U64" s="162"/>
      <c r="V64" s="161"/>
      <c r="W64" s="161"/>
      <c r="X64" s="161"/>
      <c r="Y64" s="161"/>
      <c r="Z64" s="161"/>
      <c r="AA64" s="161"/>
      <c r="AB64" s="161"/>
      <c r="AC64" s="161"/>
      <c r="AD64" s="161"/>
      <c r="AE64" s="161"/>
    </row>
    <row r="65" spans="1:31" ht="24" customHeight="1" x14ac:dyDescent="0.2">
      <c r="J65" s="161"/>
      <c r="K65" s="161"/>
      <c r="L65" s="161"/>
      <c r="M65" s="161"/>
      <c r="N65" s="172"/>
      <c r="O65" s="172"/>
      <c r="P65" s="173"/>
      <c r="Q65" s="161"/>
      <c r="R65" s="161"/>
      <c r="S65" s="162"/>
      <c r="T65" s="162"/>
      <c r="U65" s="162"/>
      <c r="V65" s="161"/>
      <c r="W65" s="161"/>
      <c r="X65" s="161"/>
      <c r="Y65" s="161"/>
      <c r="Z65" s="161"/>
      <c r="AA65" s="161"/>
      <c r="AB65" s="161"/>
      <c r="AC65" s="161"/>
      <c r="AD65" s="161"/>
      <c r="AE65" s="161"/>
    </row>
    <row r="66" spans="1:31" ht="24" customHeight="1" x14ac:dyDescent="0.2">
      <c r="N66" s="172"/>
      <c r="O66" s="172"/>
      <c r="P66" s="172"/>
      <c r="Q66" s="161"/>
      <c r="R66" s="162"/>
      <c r="S66" s="162"/>
      <c r="T66" s="162"/>
      <c r="U66" s="162"/>
      <c r="V66" s="161"/>
      <c r="W66" s="161"/>
      <c r="X66" s="161"/>
      <c r="Y66" s="161"/>
      <c r="Z66" s="161"/>
      <c r="AA66" s="161"/>
      <c r="AB66" s="161"/>
      <c r="AC66" s="161"/>
      <c r="AD66" s="161"/>
      <c r="AE66" s="161"/>
    </row>
    <row r="67" spans="1:31" x14ac:dyDescent="0.2">
      <c r="A67" s="170"/>
      <c r="B67" s="170"/>
      <c r="C67" s="170"/>
      <c r="D67" s="170"/>
      <c r="E67" s="170"/>
      <c r="F67" s="170"/>
      <c r="H67" s="170"/>
      <c r="I67" s="170"/>
      <c r="J67" s="170"/>
      <c r="K67" s="170"/>
      <c r="L67" s="162"/>
      <c r="M67" s="163"/>
      <c r="N67" s="163"/>
      <c r="O67" s="163"/>
      <c r="P67" s="163"/>
      <c r="Q67" s="162"/>
      <c r="R67" s="162"/>
      <c r="S67" s="162"/>
      <c r="T67" s="162"/>
      <c r="U67" s="162"/>
      <c r="V67" s="161"/>
      <c r="W67" s="161"/>
      <c r="X67" s="161"/>
      <c r="Y67" s="161"/>
      <c r="Z67" s="161"/>
      <c r="AA67" s="161"/>
      <c r="AB67" s="161"/>
      <c r="AC67" s="161"/>
      <c r="AD67" s="161"/>
      <c r="AE67" s="161"/>
    </row>
    <row r="68" spans="1:31" x14ac:dyDescent="0.2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63"/>
      <c r="N68" s="163"/>
      <c r="O68" s="163"/>
      <c r="P68" s="163"/>
      <c r="Q68" s="162"/>
      <c r="R68" s="162"/>
      <c r="S68" s="162"/>
      <c r="T68" s="162"/>
      <c r="U68" s="162"/>
      <c r="V68" s="161"/>
      <c r="W68" s="161"/>
      <c r="X68" s="161"/>
      <c r="Y68" s="161"/>
      <c r="Z68" s="161"/>
      <c r="AA68" s="161"/>
      <c r="AB68" s="161"/>
      <c r="AC68" s="161"/>
      <c r="AD68" s="161"/>
      <c r="AE68" s="161"/>
    </row>
    <row r="69" spans="1:31" x14ac:dyDescent="0.2">
      <c r="A69" s="170"/>
      <c r="B69" s="170"/>
      <c r="C69" s="170"/>
      <c r="D69" s="170"/>
      <c r="E69" s="170"/>
      <c r="I69" s="170"/>
      <c r="J69" s="170"/>
      <c r="K69" s="170"/>
      <c r="L69" s="170"/>
      <c r="M69" s="163"/>
      <c r="N69" s="163"/>
      <c r="O69" s="163"/>
      <c r="P69" s="163"/>
      <c r="Q69" s="162"/>
      <c r="R69" s="162"/>
      <c r="S69" s="162"/>
      <c r="T69" s="162"/>
      <c r="U69" s="162"/>
      <c r="V69" s="161"/>
      <c r="W69" s="161"/>
      <c r="X69" s="161"/>
      <c r="Y69" s="161"/>
      <c r="Z69" s="161"/>
      <c r="AA69" s="161"/>
      <c r="AB69" s="161"/>
      <c r="AC69" s="161"/>
      <c r="AD69" s="161"/>
      <c r="AE69" s="161"/>
    </row>
    <row r="70" spans="1:31" ht="2.25" hidden="1" customHeight="1" x14ac:dyDescent="0.25">
      <c r="A70" s="170"/>
      <c r="B70" s="170"/>
      <c r="C70" s="170"/>
      <c r="D70" s="170"/>
      <c r="E70" s="170"/>
      <c r="I70" s="170"/>
      <c r="J70" s="170"/>
      <c r="K70" s="170"/>
      <c r="L70" s="170"/>
      <c r="M70" s="164"/>
      <c r="N70" s="165"/>
      <c r="O70" s="165"/>
      <c r="P70" s="165"/>
      <c r="Q70" s="162"/>
      <c r="R70" s="162"/>
      <c r="S70" s="162">
        <v>58229</v>
      </c>
      <c r="T70" s="162"/>
      <c r="U70" s="162"/>
      <c r="V70" s="161"/>
      <c r="W70" s="161"/>
      <c r="X70" s="161"/>
      <c r="Y70" s="161"/>
      <c r="Z70" s="161"/>
      <c r="AA70" s="161"/>
      <c r="AB70" s="161"/>
      <c r="AC70" s="161"/>
      <c r="AD70" s="161"/>
      <c r="AE70" s="161"/>
    </row>
    <row r="71" spans="1:31" ht="24.95" customHeight="1" x14ac:dyDescent="0.25">
      <c r="A71" s="170"/>
      <c r="B71" s="170"/>
      <c r="C71" s="170"/>
      <c r="D71" s="170"/>
      <c r="E71" s="170"/>
      <c r="I71" s="170"/>
      <c r="J71" s="170"/>
      <c r="K71" s="170"/>
      <c r="L71" s="170"/>
      <c r="M71" s="166"/>
      <c r="N71" s="165"/>
      <c r="O71" s="165"/>
      <c r="P71" s="165"/>
      <c r="Q71" s="162"/>
      <c r="R71" s="162"/>
      <c r="S71" s="162"/>
      <c r="T71" s="162"/>
      <c r="U71" s="162"/>
      <c r="V71" s="161"/>
      <c r="W71" s="161"/>
      <c r="X71" s="161"/>
      <c r="Y71" s="161"/>
      <c r="Z71" s="161"/>
      <c r="AA71" s="161"/>
      <c r="AB71" s="161"/>
      <c r="AC71" s="161"/>
      <c r="AD71" s="161"/>
      <c r="AE71" s="161"/>
    </row>
    <row r="72" spans="1:31" ht="24.95" customHeight="1" x14ac:dyDescent="0.25">
      <c r="A72" s="170"/>
      <c r="B72" s="170"/>
      <c r="C72" s="170"/>
      <c r="D72" s="170"/>
      <c r="E72" s="170"/>
      <c r="I72" s="170"/>
      <c r="J72" s="170"/>
      <c r="K72" s="170"/>
      <c r="L72" s="170"/>
      <c r="M72" s="166"/>
      <c r="N72" s="165"/>
      <c r="O72" s="165"/>
      <c r="P72" s="165"/>
      <c r="Q72" s="162"/>
      <c r="R72" s="162"/>
      <c r="S72" s="167"/>
      <c r="T72" s="162"/>
      <c r="U72" s="162"/>
      <c r="V72" s="161"/>
      <c r="W72" s="161"/>
      <c r="X72" s="161"/>
      <c r="Y72" s="161"/>
      <c r="Z72" s="161"/>
      <c r="AA72" s="161"/>
      <c r="AB72" s="161"/>
      <c r="AC72" s="161"/>
      <c r="AD72" s="161"/>
      <c r="AE72" s="161"/>
    </row>
    <row r="73" spans="1:31" ht="24.95" customHeight="1" x14ac:dyDescent="0.25">
      <c r="A73" s="161"/>
      <c r="B73" s="161"/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8"/>
      <c r="N73" s="162"/>
      <c r="O73" s="162"/>
      <c r="P73" s="162"/>
      <c r="Q73" s="162"/>
      <c r="R73" s="162"/>
      <c r="S73" s="162"/>
      <c r="T73" s="162"/>
      <c r="U73" s="162"/>
      <c r="V73" s="161"/>
      <c r="W73" s="161"/>
      <c r="X73" s="161"/>
      <c r="Y73" s="161"/>
      <c r="Z73" s="161"/>
      <c r="AA73" s="161"/>
      <c r="AB73" s="161"/>
      <c r="AC73" s="161"/>
      <c r="AD73" s="161"/>
      <c r="AE73" s="161"/>
    </row>
    <row r="74" spans="1:31" ht="24.95" customHeight="1" x14ac:dyDescent="0.25">
      <c r="A74" s="161"/>
      <c r="B74" s="161"/>
      <c r="C74" s="161"/>
      <c r="D74" s="161"/>
      <c r="E74" s="161"/>
      <c r="F74" s="161"/>
      <c r="G74" s="161"/>
      <c r="H74" s="161"/>
      <c r="I74" s="161"/>
      <c r="J74" s="161"/>
      <c r="K74" s="161"/>
      <c r="L74" s="161"/>
      <c r="M74" s="168"/>
      <c r="N74" s="162"/>
      <c r="O74" s="162"/>
      <c r="P74" s="162"/>
      <c r="Q74" s="162"/>
      <c r="R74" s="162"/>
      <c r="S74" s="162"/>
      <c r="T74" s="162"/>
      <c r="U74" s="162"/>
      <c r="V74" s="161"/>
      <c r="W74" s="161"/>
      <c r="X74" s="161"/>
      <c r="Y74" s="161"/>
      <c r="Z74" s="161"/>
      <c r="AA74" s="161"/>
      <c r="AB74" s="161"/>
      <c r="AC74" s="161"/>
      <c r="AD74" s="161"/>
      <c r="AE74" s="161"/>
    </row>
    <row r="75" spans="1:31" ht="24.95" customHeight="1" x14ac:dyDescent="0.25">
      <c r="A75" s="161"/>
      <c r="B75" s="161"/>
      <c r="C75" s="161"/>
      <c r="D75" s="161"/>
      <c r="E75" s="161"/>
      <c r="F75" s="161"/>
      <c r="G75" s="161"/>
      <c r="H75" s="161"/>
      <c r="I75" s="161"/>
      <c r="J75" s="161"/>
      <c r="K75" s="161"/>
      <c r="L75" s="161"/>
      <c r="M75" s="168"/>
      <c r="N75" s="162"/>
      <c r="O75" s="162"/>
      <c r="P75" s="162"/>
      <c r="Q75" s="162"/>
      <c r="R75" s="162"/>
      <c r="S75" s="162"/>
      <c r="T75" s="162"/>
      <c r="U75" s="162"/>
      <c r="V75" s="161"/>
      <c r="W75" s="161"/>
      <c r="X75" s="161"/>
      <c r="Y75" s="161"/>
      <c r="Z75" s="161"/>
      <c r="AA75" s="161"/>
      <c r="AB75" s="161"/>
      <c r="AC75" s="161"/>
      <c r="AD75" s="161"/>
      <c r="AE75" s="161"/>
    </row>
    <row r="76" spans="1:31" ht="24.95" customHeight="1" x14ac:dyDescent="0.25">
      <c r="A76" s="161"/>
      <c r="B76" s="161"/>
      <c r="C76" s="161"/>
      <c r="D76" s="161"/>
      <c r="E76" s="161"/>
      <c r="F76" s="161"/>
      <c r="G76" s="161"/>
      <c r="H76" s="161"/>
      <c r="I76" s="161"/>
      <c r="J76" s="161"/>
      <c r="K76" s="161"/>
      <c r="L76" s="161"/>
      <c r="M76" s="168"/>
      <c r="N76" s="162"/>
      <c r="O76" s="162"/>
      <c r="P76" s="162"/>
      <c r="Q76" s="162"/>
      <c r="R76" s="162"/>
      <c r="S76" s="162"/>
      <c r="T76" s="162"/>
      <c r="U76" s="162"/>
      <c r="V76" s="161"/>
      <c r="W76" s="161"/>
      <c r="X76" s="161"/>
      <c r="Y76" s="161"/>
      <c r="Z76" s="161"/>
      <c r="AA76" s="161"/>
      <c r="AB76" s="161"/>
      <c r="AC76" s="161"/>
      <c r="AD76" s="161"/>
      <c r="AE76" s="161"/>
    </row>
    <row r="77" spans="1:31" ht="24.95" customHeight="1" x14ac:dyDescent="0.25">
      <c r="A77" s="166"/>
      <c r="B77" s="166"/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8"/>
      <c r="N77" s="162"/>
      <c r="O77" s="162"/>
      <c r="P77" s="162"/>
      <c r="Q77" s="162"/>
      <c r="R77" s="162"/>
      <c r="S77" s="162"/>
      <c r="T77" s="162"/>
      <c r="U77" s="162"/>
      <c r="V77" s="161"/>
      <c r="W77" s="161"/>
      <c r="X77" s="161"/>
      <c r="Y77" s="161"/>
      <c r="Z77" s="161"/>
      <c r="AA77" s="161"/>
      <c r="AB77" s="161"/>
      <c r="AC77" s="161"/>
      <c r="AD77" s="161"/>
      <c r="AE77" s="161"/>
    </row>
    <row r="78" spans="1:31" ht="24.95" customHeight="1" x14ac:dyDescent="0.25">
      <c r="A78" s="166"/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8"/>
      <c r="N78" s="162"/>
      <c r="O78" s="162"/>
      <c r="P78" s="162"/>
      <c r="Q78" s="162"/>
      <c r="R78" s="162"/>
      <c r="S78" s="162"/>
      <c r="T78" s="162"/>
      <c r="U78" s="162"/>
      <c r="V78" s="161"/>
      <c r="W78" s="161"/>
      <c r="X78" s="161"/>
      <c r="Y78" s="161"/>
      <c r="Z78" s="161"/>
      <c r="AA78" s="161"/>
      <c r="AB78" s="161"/>
      <c r="AC78" s="161"/>
      <c r="AD78" s="161"/>
      <c r="AE78" s="161"/>
    </row>
    <row r="79" spans="1:31" ht="24.95" customHeight="1" x14ac:dyDescent="0.25">
      <c r="A79" s="166"/>
      <c r="B79" s="166"/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8"/>
      <c r="N79" s="162"/>
      <c r="O79" s="162"/>
      <c r="P79" s="162"/>
      <c r="Q79" s="162"/>
      <c r="R79" s="162"/>
      <c r="S79" s="162"/>
      <c r="T79" s="162"/>
      <c r="U79" s="162"/>
      <c r="V79" s="161"/>
      <c r="W79" s="161"/>
      <c r="X79" s="161"/>
      <c r="Y79" s="161"/>
      <c r="Z79" s="161"/>
      <c r="AA79" s="161"/>
      <c r="AB79" s="161"/>
      <c r="AC79" s="161"/>
      <c r="AD79" s="161"/>
      <c r="AE79" s="161"/>
    </row>
    <row r="80" spans="1:31" ht="15.75" x14ac:dyDescent="0.25">
      <c r="A80" s="168"/>
      <c r="B80" s="168"/>
      <c r="C80" s="168"/>
      <c r="D80" s="168"/>
      <c r="E80" s="168"/>
      <c r="F80" s="168"/>
      <c r="G80" s="168"/>
      <c r="H80" s="168"/>
      <c r="I80" s="168"/>
      <c r="J80" s="168"/>
      <c r="K80" s="168"/>
      <c r="L80" s="168"/>
      <c r="M80" s="168"/>
      <c r="N80" s="162"/>
      <c r="O80" s="162"/>
      <c r="P80" s="162"/>
      <c r="Q80" s="162"/>
      <c r="R80" s="162"/>
      <c r="S80" s="162"/>
      <c r="T80" s="162"/>
      <c r="U80" s="162"/>
      <c r="V80" s="161"/>
      <c r="W80" s="161"/>
      <c r="X80" s="161"/>
      <c r="Y80" s="161"/>
      <c r="Z80" s="161"/>
      <c r="AA80" s="161"/>
      <c r="AB80" s="161"/>
      <c r="AC80" s="161"/>
      <c r="AD80" s="161"/>
      <c r="AE80" s="161"/>
    </row>
    <row r="81" spans="1:31" ht="15.75" x14ac:dyDescent="0.25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8"/>
      <c r="M81" s="168"/>
      <c r="N81" s="162"/>
      <c r="O81" s="162"/>
      <c r="P81" s="162"/>
      <c r="Q81" s="162"/>
      <c r="R81" s="162"/>
      <c r="S81" s="162"/>
      <c r="T81" s="162"/>
      <c r="U81" s="162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</row>
    <row r="82" spans="1:31" x14ac:dyDescent="0.2">
      <c r="A82" s="163"/>
      <c r="B82" s="163"/>
      <c r="C82" s="163"/>
      <c r="D82" s="163"/>
      <c r="E82" s="163"/>
      <c r="F82" s="163"/>
      <c r="G82" s="163"/>
      <c r="H82" s="163"/>
      <c r="I82" s="163"/>
      <c r="J82" s="163"/>
      <c r="K82" s="163"/>
      <c r="L82" s="163"/>
      <c r="M82" s="163"/>
      <c r="N82" s="162"/>
      <c r="O82" s="162"/>
      <c r="P82" s="162"/>
      <c r="Q82" s="162"/>
      <c r="R82" s="162"/>
      <c r="S82" s="162"/>
      <c r="T82" s="162"/>
      <c r="U82" s="162"/>
      <c r="V82" s="161"/>
      <c r="W82" s="161"/>
      <c r="X82" s="161"/>
      <c r="Y82" s="161"/>
      <c r="Z82" s="161"/>
      <c r="AA82" s="161"/>
      <c r="AB82" s="161"/>
      <c r="AC82" s="161"/>
      <c r="AD82" s="161"/>
      <c r="AE82" s="161"/>
    </row>
    <row r="83" spans="1:31" x14ac:dyDescent="0.2">
      <c r="A83" s="163"/>
      <c r="B83" s="163"/>
      <c r="C83" s="163"/>
      <c r="D83" s="163"/>
      <c r="E83" s="163"/>
      <c r="F83" s="163"/>
      <c r="G83" s="163"/>
      <c r="H83" s="163"/>
      <c r="I83" s="163"/>
      <c r="J83" s="163"/>
      <c r="K83" s="163"/>
      <c r="L83" s="163"/>
      <c r="M83" s="163"/>
      <c r="N83" s="162"/>
      <c r="O83" s="162"/>
      <c r="P83" s="162"/>
      <c r="Q83" s="162"/>
      <c r="R83" s="170"/>
      <c r="S83" s="162"/>
      <c r="T83" s="162"/>
      <c r="U83" s="162"/>
      <c r="V83" s="161"/>
      <c r="W83" s="161"/>
      <c r="X83" s="161"/>
      <c r="Y83" s="161"/>
      <c r="Z83" s="161"/>
      <c r="AA83" s="161"/>
      <c r="AB83" s="161"/>
      <c r="AC83" s="161"/>
      <c r="AD83" s="161"/>
      <c r="AE83" s="161"/>
    </row>
    <row r="84" spans="1:31" x14ac:dyDescent="0.2">
      <c r="A84" s="169"/>
      <c r="B84" s="169"/>
      <c r="C84" s="169"/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70"/>
      <c r="O84" s="170"/>
      <c r="P84" s="170"/>
      <c r="Q84" s="170"/>
      <c r="R84" s="170"/>
      <c r="S84" s="170"/>
      <c r="T84" s="170"/>
      <c r="U84" s="170"/>
      <c r="V84" s="161"/>
      <c r="W84" s="161"/>
      <c r="X84" s="161"/>
      <c r="Y84" s="161"/>
      <c r="Z84" s="161"/>
      <c r="AA84" s="161"/>
      <c r="AB84" s="161"/>
      <c r="AC84" s="161"/>
      <c r="AD84" s="161"/>
      <c r="AE84" s="161"/>
    </row>
    <row r="85" spans="1:31" x14ac:dyDescent="0.2">
      <c r="A85" s="169"/>
      <c r="B85" s="169"/>
      <c r="C85" s="169"/>
      <c r="D85" s="169"/>
      <c r="E85" s="169"/>
      <c r="F85" s="169"/>
      <c r="G85" s="169"/>
      <c r="H85" s="169"/>
      <c r="I85" s="169"/>
      <c r="J85" s="169"/>
      <c r="K85" s="169"/>
      <c r="L85" s="169"/>
      <c r="M85" s="169"/>
      <c r="N85" s="170"/>
      <c r="O85" s="170"/>
      <c r="P85" s="170"/>
      <c r="Q85" s="170"/>
      <c r="R85" s="170"/>
      <c r="S85" s="170"/>
      <c r="T85" s="170"/>
      <c r="U85" s="170"/>
      <c r="V85" s="161"/>
      <c r="W85" s="161"/>
      <c r="X85" s="161"/>
      <c r="Y85" s="161"/>
      <c r="Z85" s="161"/>
      <c r="AA85" s="161"/>
      <c r="AB85" s="161"/>
      <c r="AC85" s="161"/>
      <c r="AD85" s="161"/>
      <c r="AE85" s="161"/>
    </row>
    <row r="86" spans="1:31" x14ac:dyDescent="0.2">
      <c r="A86" s="169"/>
      <c r="B86" s="169"/>
      <c r="C86" s="169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70"/>
      <c r="O86" s="170"/>
      <c r="P86" s="170"/>
      <c r="Q86" s="170"/>
      <c r="R86" s="170"/>
      <c r="S86" s="170"/>
      <c r="T86" s="170"/>
      <c r="U86" s="170"/>
      <c r="V86" s="161"/>
      <c r="W86" s="161"/>
      <c r="X86" s="161"/>
      <c r="Y86" s="161"/>
      <c r="Z86" s="161"/>
      <c r="AA86" s="161"/>
      <c r="AB86" s="161"/>
      <c r="AC86" s="161"/>
      <c r="AD86" s="161"/>
      <c r="AE86" s="161"/>
    </row>
    <row r="87" spans="1:31" x14ac:dyDescent="0.2">
      <c r="A87" s="169"/>
      <c r="B87" s="169"/>
      <c r="C87" s="169"/>
      <c r="D87" s="169"/>
      <c r="E87" s="169"/>
      <c r="F87" s="169"/>
      <c r="G87" s="169"/>
      <c r="H87" s="169"/>
      <c r="I87" s="169"/>
      <c r="J87" s="169"/>
      <c r="K87" s="169"/>
      <c r="L87" s="169"/>
      <c r="M87" s="169"/>
      <c r="N87" s="170"/>
      <c r="O87" s="170"/>
      <c r="P87" s="170"/>
      <c r="Q87" s="170"/>
      <c r="R87" s="170"/>
      <c r="S87" s="170"/>
      <c r="T87" s="170"/>
      <c r="U87" s="170"/>
      <c r="V87" s="161"/>
      <c r="W87" s="161"/>
      <c r="X87" s="161"/>
      <c r="Y87" s="161"/>
      <c r="Z87" s="161"/>
      <c r="AA87" s="161"/>
      <c r="AB87" s="161"/>
      <c r="AC87" s="161"/>
      <c r="AD87" s="161"/>
      <c r="AE87" s="161"/>
    </row>
    <row r="88" spans="1:31" x14ac:dyDescent="0.2">
      <c r="A88" s="169"/>
      <c r="B88" s="169"/>
      <c r="C88" s="169"/>
      <c r="D88" s="169"/>
      <c r="E88" s="169"/>
      <c r="F88" s="169"/>
      <c r="G88" s="169"/>
      <c r="H88" s="169"/>
      <c r="I88" s="169"/>
      <c r="J88" s="169"/>
      <c r="K88" s="169"/>
      <c r="L88" s="169"/>
      <c r="M88" s="169"/>
      <c r="N88" s="170"/>
      <c r="O88" s="170"/>
      <c r="P88" s="170"/>
      <c r="Q88" s="170"/>
      <c r="R88" s="170"/>
      <c r="S88" s="170"/>
      <c r="T88" s="170"/>
      <c r="U88" s="170"/>
      <c r="V88" s="161"/>
      <c r="W88" s="161"/>
      <c r="X88" s="161"/>
      <c r="Y88" s="161"/>
      <c r="Z88" s="161"/>
      <c r="AA88" s="161"/>
      <c r="AB88" s="161"/>
      <c r="AC88" s="161"/>
      <c r="AD88" s="161"/>
      <c r="AE88" s="161"/>
    </row>
    <row r="89" spans="1:31" x14ac:dyDescent="0.2">
      <c r="A89" s="169"/>
      <c r="B89" s="169"/>
      <c r="C89" s="169"/>
      <c r="D89" s="169"/>
      <c r="E89" s="169"/>
      <c r="F89" s="169"/>
      <c r="G89" s="169"/>
      <c r="H89" s="169"/>
      <c r="I89" s="169"/>
      <c r="J89" s="169"/>
      <c r="K89" s="169"/>
      <c r="L89" s="169"/>
      <c r="M89" s="169"/>
      <c r="N89" s="170"/>
      <c r="O89" s="170"/>
      <c r="P89" s="170"/>
      <c r="Q89" s="170"/>
      <c r="R89" s="170"/>
      <c r="S89" s="170"/>
      <c r="T89" s="170"/>
      <c r="U89" s="170"/>
      <c r="V89" s="161"/>
      <c r="W89" s="161"/>
      <c r="X89" s="161"/>
      <c r="Y89" s="161"/>
      <c r="Z89" s="161"/>
      <c r="AA89" s="161"/>
      <c r="AB89" s="161"/>
      <c r="AC89" s="161"/>
      <c r="AD89" s="161"/>
      <c r="AE89" s="161"/>
    </row>
    <row r="90" spans="1:31" x14ac:dyDescent="0.2">
      <c r="A90" s="169"/>
      <c r="B90" s="169"/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70"/>
      <c r="O90" s="170"/>
      <c r="P90" s="170"/>
      <c r="Q90" s="170"/>
      <c r="R90" s="170"/>
      <c r="S90" s="170"/>
      <c r="T90" s="170"/>
      <c r="U90" s="170"/>
      <c r="V90" s="161"/>
      <c r="W90" s="161"/>
      <c r="X90" s="161"/>
      <c r="Y90" s="161"/>
      <c r="Z90" s="161"/>
      <c r="AA90" s="161"/>
      <c r="AB90" s="161"/>
      <c r="AC90" s="161"/>
      <c r="AD90" s="161"/>
      <c r="AE90" s="161"/>
    </row>
    <row r="91" spans="1:31" x14ac:dyDescent="0.2">
      <c r="A91" s="169"/>
      <c r="B91" s="169"/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70"/>
      <c r="O91" s="170"/>
      <c r="P91" s="170"/>
      <c r="Q91" s="170"/>
      <c r="R91" s="170"/>
      <c r="S91" s="170"/>
      <c r="T91" s="170"/>
      <c r="U91" s="170"/>
      <c r="V91" s="161"/>
      <c r="W91" s="161"/>
      <c r="X91" s="161"/>
      <c r="Y91" s="161"/>
      <c r="Z91" s="161"/>
      <c r="AA91" s="161"/>
      <c r="AB91" s="161"/>
      <c r="AC91" s="161"/>
      <c r="AD91" s="161"/>
      <c r="AE91" s="161"/>
    </row>
    <row r="92" spans="1:31" x14ac:dyDescent="0.2">
      <c r="A92" s="169"/>
      <c r="B92" s="169"/>
      <c r="C92" s="169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70"/>
      <c r="O92" s="170"/>
      <c r="P92" s="170"/>
      <c r="Q92" s="170"/>
      <c r="R92" s="170"/>
      <c r="S92" s="170"/>
      <c r="T92" s="170"/>
      <c r="U92" s="170"/>
      <c r="V92" s="161"/>
      <c r="W92" s="161"/>
      <c r="X92" s="161"/>
      <c r="Y92" s="161"/>
      <c r="Z92" s="161"/>
      <c r="AA92" s="161"/>
      <c r="AB92" s="161"/>
      <c r="AC92" s="161"/>
      <c r="AD92" s="161"/>
      <c r="AE92" s="161"/>
    </row>
    <row r="93" spans="1:31" x14ac:dyDescent="0.2">
      <c r="A93" s="169"/>
      <c r="B93" s="169"/>
      <c r="C93" s="169"/>
      <c r="D93" s="169"/>
      <c r="E93" s="169"/>
      <c r="F93" s="169"/>
      <c r="G93" s="169"/>
      <c r="H93" s="169"/>
      <c r="I93" s="169"/>
      <c r="J93" s="169"/>
      <c r="K93" s="169"/>
      <c r="L93" s="169"/>
      <c r="M93" s="169"/>
      <c r="N93" s="170"/>
      <c r="O93" s="170"/>
      <c r="P93" s="170"/>
      <c r="Q93" s="170"/>
      <c r="R93" s="170"/>
      <c r="S93" s="170"/>
      <c r="T93" s="170"/>
      <c r="U93" s="170"/>
      <c r="V93" s="161"/>
      <c r="W93" s="161"/>
      <c r="X93" s="161"/>
      <c r="Y93" s="161"/>
      <c r="Z93" s="161"/>
      <c r="AA93" s="161"/>
      <c r="AB93" s="161"/>
      <c r="AC93" s="161"/>
      <c r="AD93" s="161"/>
      <c r="AE93" s="161"/>
    </row>
    <row r="94" spans="1:31" x14ac:dyDescent="0.2">
      <c r="A94" s="169"/>
      <c r="B94" s="169"/>
      <c r="C94" s="169"/>
      <c r="D94" s="169"/>
      <c r="E94" s="169"/>
      <c r="F94" s="169"/>
      <c r="G94" s="169"/>
      <c r="H94" s="169"/>
      <c r="I94" s="169"/>
      <c r="J94" s="169"/>
      <c r="K94" s="169"/>
      <c r="L94" s="169"/>
      <c r="M94" s="169"/>
      <c r="N94" s="170"/>
      <c r="O94" s="170"/>
      <c r="P94" s="170"/>
      <c r="Q94" s="170"/>
      <c r="R94" s="170"/>
      <c r="S94" s="170"/>
      <c r="T94" s="170"/>
      <c r="U94" s="170"/>
      <c r="V94" s="161"/>
      <c r="W94" s="161"/>
      <c r="X94" s="161"/>
      <c r="Y94" s="161"/>
      <c r="Z94" s="161"/>
      <c r="AA94" s="161"/>
      <c r="AB94" s="161"/>
      <c r="AC94" s="161"/>
      <c r="AD94" s="161"/>
      <c r="AE94" s="161"/>
    </row>
    <row r="95" spans="1:31" x14ac:dyDescent="0.2">
      <c r="A95" s="169"/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70"/>
      <c r="O95" s="170"/>
      <c r="P95" s="170"/>
      <c r="Q95" s="170"/>
      <c r="R95" s="170"/>
      <c r="S95" s="170"/>
      <c r="T95" s="170"/>
      <c r="U95" s="170"/>
      <c r="V95" s="161"/>
      <c r="W95" s="161"/>
      <c r="X95" s="161"/>
      <c r="Y95" s="161"/>
      <c r="Z95" s="161"/>
      <c r="AA95" s="161"/>
      <c r="AB95" s="161"/>
      <c r="AC95" s="161"/>
      <c r="AD95" s="161"/>
      <c r="AE95" s="161"/>
    </row>
    <row r="96" spans="1:31" x14ac:dyDescent="0.2">
      <c r="A96" s="169"/>
      <c r="B96" s="169"/>
      <c r="C96" s="169"/>
      <c r="D96" s="169"/>
      <c r="E96" s="169"/>
      <c r="F96" s="169"/>
      <c r="G96" s="169"/>
      <c r="H96" s="169"/>
      <c r="I96" s="169"/>
      <c r="J96" s="169"/>
      <c r="K96" s="169"/>
      <c r="L96" s="169"/>
      <c r="M96" s="169"/>
      <c r="N96" s="170"/>
      <c r="O96" s="170"/>
      <c r="P96" s="170"/>
      <c r="Q96" s="170"/>
      <c r="R96" s="170"/>
      <c r="S96" s="170"/>
      <c r="T96" s="170"/>
      <c r="U96" s="170"/>
      <c r="V96" s="161"/>
      <c r="W96" s="161"/>
      <c r="X96" s="161"/>
      <c r="Y96" s="161"/>
      <c r="Z96" s="161"/>
      <c r="AA96" s="161"/>
      <c r="AB96" s="161"/>
      <c r="AC96" s="161"/>
      <c r="AD96" s="161"/>
      <c r="AE96" s="161"/>
    </row>
    <row r="97" spans="1:31" x14ac:dyDescent="0.2">
      <c r="A97" s="169"/>
      <c r="B97" s="169"/>
      <c r="C97" s="169"/>
      <c r="D97" s="169"/>
      <c r="E97" s="169"/>
      <c r="F97" s="169"/>
      <c r="G97" s="169"/>
      <c r="H97" s="169"/>
      <c r="I97" s="169"/>
      <c r="J97" s="169"/>
      <c r="K97" s="169"/>
      <c r="L97" s="169"/>
      <c r="M97" s="169"/>
      <c r="N97" s="170"/>
      <c r="O97" s="170"/>
      <c r="P97" s="170"/>
      <c r="Q97" s="170"/>
      <c r="R97" s="170"/>
      <c r="S97" s="170"/>
      <c r="T97" s="170"/>
      <c r="U97" s="170"/>
      <c r="V97" s="161"/>
      <c r="W97" s="161"/>
      <c r="X97" s="161"/>
      <c r="Y97" s="161"/>
      <c r="Z97" s="161"/>
      <c r="AA97" s="161"/>
      <c r="AB97" s="161"/>
      <c r="AC97" s="161"/>
      <c r="AD97" s="161"/>
      <c r="AE97" s="161"/>
    </row>
    <row r="98" spans="1:31" x14ac:dyDescent="0.2">
      <c r="A98" s="169"/>
      <c r="B98" s="169"/>
      <c r="C98" s="169"/>
      <c r="D98" s="169"/>
      <c r="E98" s="169"/>
      <c r="F98" s="169"/>
      <c r="G98" s="169"/>
      <c r="H98" s="169"/>
      <c r="I98" s="169"/>
      <c r="J98" s="169"/>
      <c r="K98" s="169"/>
      <c r="L98" s="169"/>
      <c r="M98" s="169"/>
      <c r="N98" s="170"/>
      <c r="O98" s="170"/>
      <c r="P98" s="170"/>
      <c r="Q98" s="170"/>
      <c r="R98" s="170"/>
      <c r="S98" s="170"/>
      <c r="T98" s="170"/>
      <c r="U98" s="170"/>
      <c r="V98" s="161"/>
      <c r="W98" s="161"/>
      <c r="X98" s="161"/>
      <c r="Y98" s="161"/>
      <c r="Z98" s="161"/>
      <c r="AA98" s="161"/>
      <c r="AB98" s="161"/>
      <c r="AC98" s="161"/>
      <c r="AD98" s="161"/>
      <c r="AE98" s="161"/>
    </row>
    <row r="99" spans="1:31" x14ac:dyDescent="0.2">
      <c r="A99" s="169"/>
      <c r="B99" s="169"/>
      <c r="C99" s="169"/>
      <c r="D99" s="169"/>
      <c r="E99" s="169"/>
      <c r="F99" s="169"/>
      <c r="G99" s="169"/>
      <c r="H99" s="169"/>
      <c r="I99" s="169"/>
      <c r="J99" s="169"/>
      <c r="K99" s="169"/>
      <c r="L99" s="169"/>
      <c r="M99" s="169"/>
      <c r="N99" s="170"/>
      <c r="O99" s="170"/>
      <c r="P99" s="170"/>
      <c r="Q99" s="170"/>
      <c r="R99" s="170"/>
      <c r="S99" s="170"/>
      <c r="T99" s="170"/>
      <c r="U99" s="170"/>
      <c r="V99" s="161"/>
      <c r="W99" s="161"/>
      <c r="X99" s="161"/>
      <c r="Y99" s="161"/>
      <c r="Z99" s="161"/>
      <c r="AA99" s="161"/>
      <c r="AB99" s="161"/>
      <c r="AC99" s="161"/>
      <c r="AD99" s="161"/>
      <c r="AE99" s="161"/>
    </row>
    <row r="100" spans="1:31" x14ac:dyDescent="0.2">
      <c r="A100" s="169"/>
      <c r="B100" s="169"/>
      <c r="C100" s="169"/>
      <c r="D100" s="169"/>
      <c r="E100" s="169"/>
      <c r="F100" s="169"/>
      <c r="G100" s="169"/>
      <c r="H100" s="169"/>
      <c r="I100" s="169"/>
      <c r="J100" s="169"/>
      <c r="K100" s="169"/>
      <c r="L100" s="169"/>
      <c r="M100" s="169"/>
      <c r="N100" s="170"/>
      <c r="O100" s="170"/>
      <c r="P100" s="170"/>
      <c r="Q100" s="170"/>
      <c r="R100" s="170"/>
      <c r="S100" s="170"/>
      <c r="T100" s="170"/>
      <c r="U100" s="170"/>
      <c r="V100" s="161"/>
      <c r="W100" s="161"/>
      <c r="X100" s="161"/>
      <c r="Y100" s="161"/>
      <c r="Z100" s="161"/>
      <c r="AA100" s="161"/>
      <c r="AB100" s="161"/>
      <c r="AC100" s="161"/>
      <c r="AD100" s="161"/>
      <c r="AE100" s="161"/>
    </row>
    <row r="101" spans="1:31" x14ac:dyDescent="0.2">
      <c r="A101" s="169"/>
      <c r="B101" s="169"/>
      <c r="C101" s="169"/>
      <c r="D101" s="169"/>
      <c r="E101" s="169"/>
      <c r="F101" s="169"/>
      <c r="G101" s="169"/>
      <c r="H101" s="169"/>
      <c r="I101" s="169"/>
      <c r="J101" s="169"/>
      <c r="K101" s="169"/>
      <c r="L101" s="169"/>
      <c r="M101" s="169"/>
      <c r="N101" s="170"/>
      <c r="O101" s="170"/>
      <c r="P101" s="170"/>
      <c r="Q101" s="170"/>
      <c r="R101" s="170"/>
      <c r="S101" s="170"/>
      <c r="T101" s="170"/>
      <c r="U101" s="170"/>
      <c r="V101" s="161"/>
      <c r="W101" s="161"/>
      <c r="X101" s="161"/>
      <c r="Y101" s="161"/>
      <c r="Z101" s="161"/>
      <c r="AA101" s="161"/>
      <c r="AB101" s="161"/>
      <c r="AC101" s="161"/>
      <c r="AD101" s="161"/>
      <c r="AE101" s="161"/>
    </row>
    <row r="102" spans="1:31" x14ac:dyDescent="0.2">
      <c r="A102" s="169"/>
      <c r="B102" s="169"/>
      <c r="C102" s="169"/>
      <c r="D102" s="169"/>
      <c r="E102" s="169"/>
      <c r="F102" s="169"/>
      <c r="G102" s="169"/>
      <c r="H102" s="169"/>
      <c r="I102" s="169"/>
      <c r="J102" s="169"/>
      <c r="K102" s="169"/>
      <c r="L102" s="169"/>
      <c r="M102" s="169"/>
      <c r="N102" s="170"/>
      <c r="O102" s="170"/>
      <c r="P102" s="170"/>
      <c r="Q102" s="170"/>
      <c r="R102" s="170"/>
      <c r="S102" s="170"/>
      <c r="T102" s="170"/>
      <c r="U102" s="170"/>
      <c r="V102" s="161"/>
      <c r="W102" s="161"/>
      <c r="X102" s="161"/>
      <c r="Y102" s="161"/>
      <c r="Z102" s="161"/>
      <c r="AA102" s="161"/>
      <c r="AB102" s="161"/>
      <c r="AC102" s="161"/>
      <c r="AD102" s="161"/>
      <c r="AE102" s="161"/>
    </row>
    <row r="103" spans="1:31" x14ac:dyDescent="0.2">
      <c r="A103" s="169"/>
      <c r="B103" s="169"/>
      <c r="C103" s="169"/>
      <c r="D103" s="169"/>
      <c r="E103" s="169"/>
      <c r="F103" s="169"/>
      <c r="G103" s="169"/>
      <c r="H103" s="169"/>
      <c r="I103" s="169"/>
      <c r="J103" s="169"/>
      <c r="K103" s="169"/>
      <c r="L103" s="169"/>
      <c r="M103" s="169"/>
      <c r="N103" s="170"/>
      <c r="O103" s="170"/>
      <c r="P103" s="170"/>
      <c r="Q103" s="170"/>
      <c r="R103" s="170"/>
      <c r="S103" s="170"/>
      <c r="T103" s="170"/>
      <c r="U103" s="170"/>
      <c r="V103" s="161"/>
      <c r="W103" s="161"/>
      <c r="X103" s="161"/>
      <c r="Y103" s="161"/>
      <c r="Z103" s="161"/>
      <c r="AA103" s="161"/>
      <c r="AB103" s="161"/>
      <c r="AC103" s="161"/>
      <c r="AD103" s="161"/>
      <c r="AE103" s="161"/>
    </row>
    <row r="104" spans="1:31" x14ac:dyDescent="0.2">
      <c r="A104" s="169"/>
      <c r="B104" s="169"/>
      <c r="C104" s="169"/>
      <c r="D104" s="169"/>
      <c r="E104" s="169"/>
      <c r="F104" s="169"/>
      <c r="G104" s="169"/>
      <c r="H104" s="169"/>
      <c r="I104" s="169"/>
      <c r="J104" s="169"/>
      <c r="K104" s="169"/>
      <c r="L104" s="169"/>
      <c r="M104" s="169"/>
      <c r="N104" s="170"/>
      <c r="O104" s="170"/>
      <c r="P104" s="170"/>
      <c r="Q104" s="170"/>
      <c r="R104" s="170"/>
      <c r="S104" s="170"/>
      <c r="T104" s="170"/>
      <c r="U104" s="170"/>
      <c r="V104" s="161"/>
      <c r="W104" s="161"/>
      <c r="X104" s="161"/>
      <c r="Y104" s="161"/>
      <c r="Z104" s="161"/>
      <c r="AA104" s="161"/>
      <c r="AB104" s="161"/>
      <c r="AC104" s="161"/>
      <c r="AD104" s="161"/>
      <c r="AE104" s="161"/>
    </row>
    <row r="105" spans="1:31" x14ac:dyDescent="0.2">
      <c r="A105" s="169"/>
      <c r="B105" s="169"/>
      <c r="C105" s="169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70"/>
      <c r="O105" s="170"/>
      <c r="P105" s="170"/>
      <c r="Q105" s="170"/>
      <c r="R105" s="170"/>
      <c r="S105" s="170"/>
      <c r="T105" s="170"/>
      <c r="U105" s="170"/>
      <c r="V105" s="161"/>
      <c r="W105" s="161"/>
      <c r="X105" s="161"/>
      <c r="Y105" s="161"/>
      <c r="Z105" s="161"/>
      <c r="AA105" s="161"/>
      <c r="AB105" s="161"/>
      <c r="AC105" s="161"/>
      <c r="AD105" s="161"/>
      <c r="AE105" s="161"/>
    </row>
    <row r="106" spans="1:31" x14ac:dyDescent="0.2">
      <c r="A106" s="169"/>
      <c r="B106" s="169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70"/>
      <c r="O106" s="170"/>
      <c r="P106" s="170"/>
      <c r="Q106" s="170"/>
      <c r="R106" s="170"/>
      <c r="S106" s="170"/>
      <c r="T106" s="170"/>
      <c r="U106" s="170"/>
      <c r="V106" s="161"/>
      <c r="W106" s="161"/>
      <c r="X106" s="161"/>
      <c r="Y106" s="161"/>
      <c r="Z106" s="161"/>
      <c r="AA106" s="161"/>
      <c r="AB106" s="161"/>
      <c r="AC106" s="161"/>
      <c r="AD106" s="161"/>
      <c r="AE106" s="161"/>
    </row>
    <row r="107" spans="1:31" x14ac:dyDescent="0.2">
      <c r="A107" s="169"/>
      <c r="B107" s="169"/>
      <c r="C107" s="169"/>
      <c r="D107" s="169"/>
      <c r="E107" s="169"/>
      <c r="F107" s="169"/>
      <c r="G107" s="169"/>
      <c r="H107" s="169"/>
      <c r="I107" s="169"/>
      <c r="J107" s="169"/>
      <c r="K107" s="169"/>
      <c r="L107" s="169"/>
      <c r="M107" s="169"/>
      <c r="N107" s="170"/>
      <c r="O107" s="170"/>
      <c r="P107" s="170"/>
      <c r="Q107" s="170"/>
      <c r="R107" s="170"/>
      <c r="S107" s="170"/>
      <c r="T107" s="170"/>
      <c r="U107" s="170"/>
      <c r="V107" s="161"/>
      <c r="W107" s="161"/>
      <c r="X107" s="161"/>
      <c r="Y107" s="161"/>
      <c r="Z107" s="161"/>
      <c r="AA107" s="161"/>
      <c r="AB107" s="161"/>
      <c r="AC107" s="161"/>
      <c r="AD107" s="161"/>
      <c r="AE107" s="161"/>
    </row>
    <row r="108" spans="1:31" x14ac:dyDescent="0.2">
      <c r="A108" s="169"/>
      <c r="B108" s="169"/>
      <c r="C108" s="169"/>
      <c r="D108" s="169"/>
      <c r="E108" s="169"/>
      <c r="F108" s="169"/>
      <c r="G108" s="169"/>
      <c r="H108" s="169"/>
      <c r="I108" s="169"/>
      <c r="J108" s="169"/>
      <c r="K108" s="169"/>
      <c r="L108" s="169"/>
      <c r="M108" s="169"/>
      <c r="N108" s="170"/>
      <c r="O108" s="170"/>
      <c r="P108" s="170"/>
      <c r="Q108" s="170"/>
      <c r="R108" s="170"/>
      <c r="S108" s="170"/>
      <c r="T108" s="170"/>
      <c r="U108" s="170"/>
      <c r="V108" s="161"/>
      <c r="W108" s="161"/>
      <c r="X108" s="161"/>
      <c r="Y108" s="161"/>
      <c r="Z108" s="161"/>
      <c r="AA108" s="161"/>
      <c r="AB108" s="161"/>
      <c r="AC108" s="161"/>
      <c r="AD108" s="161"/>
      <c r="AE108" s="161"/>
    </row>
    <row r="109" spans="1:31" x14ac:dyDescent="0.2">
      <c r="A109" s="169"/>
      <c r="B109" s="169"/>
      <c r="C109" s="169"/>
      <c r="D109" s="169"/>
      <c r="E109" s="169"/>
      <c r="F109" s="169"/>
      <c r="G109" s="169"/>
      <c r="H109" s="169"/>
      <c r="I109" s="169"/>
      <c r="J109" s="169"/>
      <c r="K109" s="169"/>
      <c r="L109" s="169"/>
      <c r="M109" s="169"/>
      <c r="N109" s="170"/>
      <c r="O109" s="170"/>
      <c r="P109" s="170"/>
      <c r="Q109" s="170"/>
      <c r="R109" s="170"/>
      <c r="S109" s="170"/>
      <c r="T109" s="170"/>
      <c r="U109" s="170"/>
      <c r="V109" s="161"/>
      <c r="W109" s="161"/>
      <c r="X109" s="161"/>
      <c r="Y109" s="161"/>
      <c r="Z109" s="161"/>
      <c r="AA109" s="161"/>
      <c r="AB109" s="161"/>
      <c r="AC109" s="161"/>
      <c r="AD109" s="161"/>
      <c r="AE109" s="161"/>
    </row>
    <row r="110" spans="1:31" x14ac:dyDescent="0.2">
      <c r="A110" s="169"/>
      <c r="B110" s="169"/>
      <c r="C110" s="169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70"/>
      <c r="O110" s="170"/>
      <c r="P110" s="170"/>
      <c r="Q110" s="170"/>
      <c r="R110" s="170"/>
      <c r="S110" s="170"/>
      <c r="T110" s="170"/>
      <c r="U110" s="170"/>
      <c r="V110" s="161"/>
      <c r="W110" s="161"/>
      <c r="X110" s="161"/>
      <c r="Y110" s="161"/>
      <c r="Z110" s="161"/>
      <c r="AA110" s="161"/>
      <c r="AB110" s="161"/>
      <c r="AC110" s="161"/>
      <c r="AD110" s="161"/>
      <c r="AE110" s="161"/>
    </row>
    <row r="111" spans="1:31" x14ac:dyDescent="0.2">
      <c r="A111" s="169"/>
      <c r="B111" s="169"/>
      <c r="C111" s="169"/>
      <c r="D111" s="169"/>
      <c r="E111" s="169"/>
      <c r="F111" s="169"/>
      <c r="G111" s="169"/>
      <c r="H111" s="169"/>
      <c r="I111" s="169"/>
      <c r="J111" s="169"/>
      <c r="K111" s="169"/>
      <c r="L111" s="169"/>
      <c r="M111" s="169"/>
      <c r="N111" s="170"/>
      <c r="O111" s="170"/>
      <c r="P111" s="170"/>
      <c r="Q111" s="170"/>
      <c r="R111" s="170"/>
      <c r="S111" s="170"/>
      <c r="T111" s="170"/>
      <c r="U111" s="170"/>
      <c r="V111" s="161"/>
      <c r="W111" s="161"/>
      <c r="X111" s="161"/>
      <c r="Y111" s="161"/>
      <c r="Z111" s="161"/>
      <c r="AA111" s="161"/>
      <c r="AB111" s="161"/>
      <c r="AC111" s="161"/>
      <c r="AD111" s="161"/>
      <c r="AE111" s="161"/>
    </row>
    <row r="112" spans="1:31" x14ac:dyDescent="0.2">
      <c r="A112" s="169"/>
      <c r="B112" s="169"/>
      <c r="C112" s="169"/>
      <c r="D112" s="169"/>
      <c r="E112" s="169"/>
      <c r="F112" s="169"/>
      <c r="G112" s="169"/>
      <c r="H112" s="169"/>
      <c r="I112" s="169"/>
      <c r="J112" s="169"/>
      <c r="K112" s="169"/>
      <c r="L112" s="169"/>
      <c r="M112" s="169"/>
      <c r="N112" s="170"/>
      <c r="O112" s="170"/>
      <c r="P112" s="170"/>
      <c r="Q112" s="170"/>
      <c r="R112" s="170"/>
      <c r="S112" s="170"/>
      <c r="T112" s="170"/>
      <c r="U112" s="170"/>
      <c r="V112" s="161"/>
      <c r="W112" s="161"/>
      <c r="X112" s="161"/>
      <c r="Y112" s="161"/>
      <c r="Z112" s="161"/>
      <c r="AA112" s="161"/>
      <c r="AB112" s="161"/>
      <c r="AC112" s="161"/>
      <c r="AD112" s="161"/>
      <c r="AE112" s="161"/>
    </row>
    <row r="113" spans="1:31" x14ac:dyDescent="0.2">
      <c r="A113" s="169"/>
      <c r="B113" s="169"/>
      <c r="C113" s="169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  <c r="N113" s="170"/>
      <c r="O113" s="170"/>
      <c r="P113" s="170"/>
      <c r="Q113" s="170"/>
      <c r="R113" s="170"/>
      <c r="S113" s="170"/>
      <c r="T113" s="170"/>
      <c r="U113" s="170"/>
      <c r="V113" s="161"/>
      <c r="W113" s="161"/>
      <c r="X113" s="161"/>
      <c r="Y113" s="161"/>
      <c r="Z113" s="161"/>
      <c r="AA113" s="161"/>
      <c r="AB113" s="161"/>
      <c r="AC113" s="161"/>
      <c r="AD113" s="161"/>
      <c r="AE113" s="161"/>
    </row>
    <row r="114" spans="1:31" x14ac:dyDescent="0.2">
      <c r="A114" s="169"/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70"/>
      <c r="O114" s="170"/>
      <c r="P114" s="170"/>
      <c r="Q114" s="170"/>
      <c r="R114" s="170"/>
      <c r="S114" s="170"/>
      <c r="T114" s="170"/>
      <c r="U114" s="170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</row>
    <row r="115" spans="1:31" x14ac:dyDescent="0.2">
      <c r="A115" s="169"/>
      <c r="B115" s="169"/>
      <c r="C115" s="169"/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70"/>
      <c r="O115" s="170"/>
      <c r="P115" s="170"/>
      <c r="Q115" s="170"/>
      <c r="R115" s="170"/>
      <c r="S115" s="170"/>
      <c r="T115" s="170"/>
      <c r="U115" s="170"/>
      <c r="V115" s="161"/>
      <c r="W115" s="161"/>
      <c r="X115" s="161"/>
      <c r="Y115" s="161"/>
      <c r="Z115" s="161"/>
      <c r="AA115" s="161"/>
      <c r="AB115" s="161"/>
      <c r="AC115" s="161"/>
      <c r="AD115" s="161"/>
      <c r="AE115" s="161"/>
    </row>
    <row r="116" spans="1:31" x14ac:dyDescent="0.2">
      <c r="A116" s="169"/>
      <c r="B116" s="169"/>
      <c r="C116" s="169"/>
      <c r="D116" s="169"/>
      <c r="E116" s="169"/>
      <c r="F116" s="169"/>
      <c r="G116" s="169"/>
      <c r="H116" s="169"/>
      <c r="I116" s="169"/>
      <c r="J116" s="169"/>
      <c r="K116" s="169"/>
      <c r="L116" s="169"/>
      <c r="M116" s="169"/>
      <c r="N116" s="170"/>
      <c r="O116" s="170"/>
      <c r="P116" s="170"/>
      <c r="Q116" s="170"/>
      <c r="R116" s="170"/>
      <c r="S116" s="170"/>
      <c r="T116" s="170"/>
      <c r="U116" s="170"/>
      <c r="V116" s="161"/>
      <c r="W116" s="161"/>
      <c r="X116" s="161"/>
      <c r="Y116" s="161"/>
      <c r="Z116" s="161"/>
      <c r="AA116" s="161"/>
      <c r="AB116" s="161"/>
      <c r="AC116" s="161"/>
      <c r="AD116" s="161"/>
      <c r="AE116" s="161"/>
    </row>
    <row r="117" spans="1:31" x14ac:dyDescent="0.2">
      <c r="A117" s="169"/>
      <c r="B117" s="169"/>
      <c r="C117" s="169"/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70"/>
      <c r="O117" s="170"/>
      <c r="P117" s="170"/>
      <c r="Q117" s="170"/>
      <c r="R117" s="170"/>
      <c r="S117" s="170"/>
      <c r="T117" s="170"/>
      <c r="U117" s="170"/>
      <c r="V117" s="161"/>
      <c r="W117" s="161"/>
      <c r="X117" s="161"/>
      <c r="Y117" s="161"/>
      <c r="Z117" s="161"/>
      <c r="AA117" s="161"/>
      <c r="AB117" s="161"/>
      <c r="AC117" s="161"/>
      <c r="AD117" s="161"/>
      <c r="AE117" s="161"/>
    </row>
    <row r="118" spans="1:31" x14ac:dyDescent="0.2">
      <c r="A118" s="169"/>
      <c r="B118" s="169"/>
      <c r="C118" s="169"/>
      <c r="D118" s="169"/>
      <c r="E118" s="169"/>
      <c r="F118" s="169"/>
      <c r="G118" s="169"/>
      <c r="H118" s="169"/>
      <c r="I118" s="169"/>
      <c r="J118" s="169"/>
      <c r="K118" s="169"/>
      <c r="L118" s="169"/>
      <c r="M118" s="169"/>
      <c r="N118" s="170"/>
      <c r="O118" s="170"/>
      <c r="P118" s="170"/>
      <c r="Q118" s="170"/>
      <c r="R118" s="170"/>
      <c r="S118" s="170"/>
      <c r="T118" s="170"/>
      <c r="U118" s="170"/>
      <c r="V118" s="161"/>
      <c r="W118" s="161"/>
      <c r="X118" s="161"/>
      <c r="Y118" s="161"/>
      <c r="Z118" s="161"/>
      <c r="AA118" s="161"/>
      <c r="AB118" s="161"/>
      <c r="AC118" s="161"/>
      <c r="AD118" s="161"/>
      <c r="AE118" s="161"/>
    </row>
    <row r="119" spans="1:31" x14ac:dyDescent="0.2">
      <c r="A119" s="169"/>
      <c r="B119" s="169"/>
      <c r="C119" s="169"/>
      <c r="D119" s="169"/>
      <c r="E119" s="169"/>
      <c r="F119" s="169"/>
      <c r="G119" s="169"/>
      <c r="H119" s="169"/>
      <c r="I119" s="169"/>
      <c r="J119" s="169"/>
      <c r="K119" s="169"/>
      <c r="L119" s="169"/>
      <c r="M119" s="169"/>
      <c r="N119" s="170"/>
      <c r="O119" s="170"/>
      <c r="P119" s="170"/>
      <c r="Q119" s="170"/>
      <c r="R119" s="170"/>
      <c r="S119" s="170"/>
      <c r="T119" s="170"/>
      <c r="U119" s="170"/>
      <c r="V119" s="161"/>
      <c r="W119" s="161"/>
      <c r="X119" s="161"/>
      <c r="Y119" s="161"/>
      <c r="Z119" s="161"/>
      <c r="AA119" s="161"/>
      <c r="AB119" s="161"/>
      <c r="AC119" s="161"/>
      <c r="AD119" s="161"/>
      <c r="AE119" s="161"/>
    </row>
    <row r="120" spans="1:31" x14ac:dyDescent="0.2">
      <c r="A120" s="169"/>
      <c r="B120" s="169"/>
      <c r="C120" s="169"/>
      <c r="D120" s="169"/>
      <c r="E120" s="169"/>
      <c r="F120" s="169"/>
      <c r="G120" s="169"/>
      <c r="H120" s="169"/>
      <c r="I120" s="169"/>
      <c r="J120" s="169"/>
      <c r="K120" s="169"/>
      <c r="L120" s="169"/>
      <c r="M120" s="169"/>
      <c r="N120" s="170"/>
      <c r="O120" s="170"/>
      <c r="P120" s="170"/>
      <c r="Q120" s="170"/>
      <c r="R120" s="170"/>
      <c r="S120" s="170"/>
      <c r="T120" s="170"/>
      <c r="U120" s="170"/>
      <c r="V120" s="161"/>
      <c r="W120" s="161"/>
      <c r="X120" s="161"/>
      <c r="Y120" s="161"/>
      <c r="Z120" s="161"/>
      <c r="AA120" s="161"/>
      <c r="AB120" s="161"/>
      <c r="AC120" s="161"/>
      <c r="AD120" s="161"/>
      <c r="AE120" s="161"/>
    </row>
    <row r="121" spans="1:31" x14ac:dyDescent="0.2">
      <c r="A121" s="169"/>
      <c r="B121" s="169"/>
      <c r="C121" s="169"/>
      <c r="D121" s="169"/>
      <c r="E121" s="169"/>
      <c r="F121" s="169"/>
      <c r="G121" s="169"/>
      <c r="H121" s="169"/>
      <c r="I121" s="169"/>
      <c r="J121" s="169"/>
      <c r="K121" s="169"/>
      <c r="L121" s="169"/>
      <c r="M121" s="169"/>
      <c r="N121" s="170"/>
      <c r="O121" s="170"/>
      <c r="P121" s="170"/>
      <c r="Q121" s="170"/>
      <c r="R121" s="161"/>
      <c r="S121" s="170"/>
      <c r="T121" s="170"/>
      <c r="U121" s="170"/>
      <c r="V121" s="161"/>
      <c r="W121" s="161"/>
      <c r="X121" s="161"/>
      <c r="Y121" s="161"/>
      <c r="Z121" s="161"/>
      <c r="AA121" s="161"/>
      <c r="AB121" s="161"/>
      <c r="AC121" s="161"/>
      <c r="AD121" s="161"/>
      <c r="AE121" s="161"/>
    </row>
    <row r="122" spans="1:31" x14ac:dyDescent="0.2">
      <c r="A122" s="171"/>
      <c r="B122" s="171"/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61"/>
      <c r="O122" s="161"/>
      <c r="P122" s="161"/>
      <c r="Q122" s="161"/>
      <c r="R122" s="161"/>
      <c r="S122" s="161"/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61"/>
      <c r="AE122" s="161"/>
    </row>
    <row r="123" spans="1:31" x14ac:dyDescent="0.2">
      <c r="A123" s="171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61"/>
      <c r="O123" s="161"/>
      <c r="P123" s="161"/>
      <c r="Q123" s="161"/>
      <c r="R123" s="161"/>
      <c r="S123" s="161"/>
      <c r="T123" s="161"/>
      <c r="U123" s="161"/>
      <c r="V123" s="161"/>
      <c r="W123" s="161"/>
      <c r="X123" s="161"/>
      <c r="Y123" s="161"/>
      <c r="Z123" s="161"/>
      <c r="AA123" s="161"/>
      <c r="AB123" s="161"/>
      <c r="AC123" s="161"/>
      <c r="AD123" s="161"/>
      <c r="AE123" s="161"/>
    </row>
    <row r="124" spans="1:31" x14ac:dyDescent="0.2">
      <c r="A124" s="171"/>
      <c r="B124" s="171"/>
      <c r="C124" s="171"/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61"/>
      <c r="O124" s="161"/>
      <c r="P124" s="161"/>
      <c r="Q124" s="161"/>
      <c r="R124" s="161"/>
      <c r="S124" s="161"/>
      <c r="T124" s="161"/>
      <c r="U124" s="161"/>
      <c r="V124" s="161"/>
      <c r="W124" s="161"/>
      <c r="X124" s="161"/>
      <c r="Y124" s="161"/>
      <c r="Z124" s="161"/>
      <c r="AA124" s="161"/>
      <c r="AB124" s="161"/>
      <c r="AC124" s="161"/>
      <c r="AD124" s="161"/>
      <c r="AE124" s="161"/>
    </row>
    <row r="125" spans="1:31" x14ac:dyDescent="0.2">
      <c r="A125" s="171"/>
      <c r="B125" s="171"/>
      <c r="C125" s="171"/>
      <c r="D125" s="171"/>
      <c r="E125" s="171"/>
      <c r="F125" s="171"/>
      <c r="G125" s="171"/>
      <c r="H125" s="171"/>
      <c r="I125" s="171"/>
      <c r="J125" s="171"/>
      <c r="K125" s="171"/>
      <c r="L125" s="171"/>
      <c r="M125" s="17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</row>
    <row r="126" spans="1:31" x14ac:dyDescent="0.2">
      <c r="A126" s="171"/>
      <c r="B126" s="171"/>
      <c r="C126" s="171"/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61"/>
      <c r="O126" s="161"/>
      <c r="P126" s="161"/>
      <c r="Q126" s="161"/>
      <c r="R126" s="161"/>
      <c r="S126" s="161"/>
      <c r="T126" s="161"/>
      <c r="U126" s="161"/>
      <c r="V126" s="161"/>
      <c r="W126" s="161"/>
      <c r="X126" s="161"/>
      <c r="Y126" s="161"/>
      <c r="Z126" s="161"/>
      <c r="AA126" s="161"/>
      <c r="AB126" s="161"/>
      <c r="AC126" s="161"/>
      <c r="AD126" s="161"/>
      <c r="AE126" s="161"/>
    </row>
    <row r="127" spans="1:31" x14ac:dyDescent="0.2">
      <c r="A127" s="171"/>
      <c r="B127" s="171"/>
      <c r="C127" s="171"/>
      <c r="D127" s="171"/>
      <c r="E127" s="171"/>
      <c r="F127" s="171"/>
      <c r="G127" s="171"/>
      <c r="H127" s="171"/>
      <c r="I127" s="171"/>
      <c r="J127" s="171"/>
      <c r="K127" s="171"/>
      <c r="L127" s="171"/>
      <c r="M127" s="171"/>
      <c r="N127" s="161"/>
      <c r="O127" s="161"/>
      <c r="P127" s="161"/>
      <c r="Q127" s="161"/>
      <c r="S127" s="161"/>
      <c r="T127" s="161"/>
      <c r="U127" s="161"/>
      <c r="V127" s="161"/>
      <c r="W127" s="161"/>
      <c r="X127" s="161"/>
      <c r="Y127" s="161"/>
      <c r="Z127" s="161"/>
      <c r="AA127" s="161"/>
      <c r="AB127" s="161"/>
      <c r="AC127" s="161"/>
      <c r="AD127" s="161"/>
      <c r="AE127" s="161"/>
    </row>
  </sheetData>
  <mergeCells count="33">
    <mergeCell ref="A43:Q43"/>
    <mergeCell ref="Q29:Q31"/>
    <mergeCell ref="A42:Q42"/>
    <mergeCell ref="Q26:Q28"/>
    <mergeCell ref="A41:P41"/>
    <mergeCell ref="A34:A38"/>
    <mergeCell ref="A39:P39"/>
    <mergeCell ref="Q34:Q38"/>
    <mergeCell ref="A1:Q1"/>
    <mergeCell ref="A16:Q16"/>
    <mergeCell ref="A2:B2"/>
    <mergeCell ref="A3:B3"/>
    <mergeCell ref="A4:B4"/>
    <mergeCell ref="A5:B5"/>
    <mergeCell ref="A6:B6"/>
    <mergeCell ref="A7:B7"/>
    <mergeCell ref="A8:B8"/>
    <mergeCell ref="Q19:Q25"/>
    <mergeCell ref="A40:Q40"/>
    <mergeCell ref="A32:P32"/>
    <mergeCell ref="A12:I12"/>
    <mergeCell ref="A13:I13"/>
    <mergeCell ref="A14:I14"/>
    <mergeCell ref="A15:I15"/>
    <mergeCell ref="L17:M17"/>
    <mergeCell ref="I17:I18"/>
    <mergeCell ref="P17:Q17"/>
    <mergeCell ref="A17:C18"/>
    <mergeCell ref="D17:D18"/>
    <mergeCell ref="E17:E18"/>
    <mergeCell ref="F17:F18"/>
    <mergeCell ref="G17:G18"/>
    <mergeCell ref="H17:H18"/>
  </mergeCells>
  <pageMargins left="0.25" right="0" top="0" bottom="0" header="0" footer="0"/>
  <pageSetup paperSize="5" scale="67" orientation="landscape" verticalDpi="144" r:id="rId1"/>
  <headerFooter scaleWithDoc="0" alignWithMargins="0"/>
  <rowBreaks count="1" manualBreakCount="1">
    <brk id="41" max="16383" man="1"/>
  </rowBreaks>
  <ignoredErrors>
    <ignoredError sqref="N26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8"/>
  <sheetViews>
    <sheetView topLeftCell="A19" workbookViewId="0">
      <selection activeCell="B44" sqref="B44"/>
    </sheetView>
  </sheetViews>
  <sheetFormatPr defaultRowHeight="12.75" x14ac:dyDescent="0.2"/>
  <cols>
    <col min="1" max="1" width="22.28515625" customWidth="1"/>
    <col min="2" max="2" width="12.7109375" customWidth="1"/>
    <col min="3" max="3" width="10" customWidth="1"/>
    <col min="4" max="13" width="12.7109375" customWidth="1"/>
    <col min="14" max="14" width="9.42578125" customWidth="1"/>
    <col min="15" max="15" width="26.28515625" customWidth="1"/>
  </cols>
  <sheetData>
    <row r="1" spans="1:24" ht="24" customHeight="1" x14ac:dyDescent="0.2">
      <c r="A1" s="368" t="s">
        <v>282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</row>
    <row r="2" spans="1:24" ht="24" customHeight="1" x14ac:dyDescent="0.2">
      <c r="A2" s="207" t="s">
        <v>222</v>
      </c>
      <c r="B2" s="206" t="s">
        <v>314</v>
      </c>
      <c r="C2" s="207"/>
      <c r="D2" s="242"/>
      <c r="E2" s="242"/>
      <c r="F2" s="242"/>
      <c r="G2" s="207"/>
      <c r="H2" s="242" t="s">
        <v>315</v>
      </c>
      <c r="I2" s="242" t="s">
        <v>310</v>
      </c>
      <c r="J2" s="242" t="s">
        <v>286</v>
      </c>
      <c r="K2" s="242" t="s">
        <v>275</v>
      </c>
      <c r="L2" s="207" t="s">
        <v>288</v>
      </c>
      <c r="M2" s="207" t="s">
        <v>289</v>
      </c>
    </row>
    <row r="3" spans="1:24" ht="24" customHeight="1" x14ac:dyDescent="0.2">
      <c r="A3" s="298" t="s">
        <v>312</v>
      </c>
      <c r="B3" s="299">
        <v>1</v>
      </c>
      <c r="C3" s="297"/>
      <c r="D3" s="297"/>
      <c r="E3" s="297"/>
      <c r="F3" s="297"/>
      <c r="G3" s="297"/>
      <c r="H3" s="300">
        <v>500</v>
      </c>
      <c r="I3" s="300">
        <v>95</v>
      </c>
      <c r="J3" s="300">
        <v>5</v>
      </c>
      <c r="K3" s="300">
        <v>50</v>
      </c>
      <c r="L3" s="302"/>
      <c r="M3" s="302"/>
    </row>
    <row r="4" spans="1:24" ht="17.25" customHeight="1" x14ac:dyDescent="0.2">
      <c r="M4" s="286"/>
    </row>
    <row r="5" spans="1:24" ht="17.25" customHeight="1" x14ac:dyDescent="0.2">
      <c r="A5" s="207" t="s">
        <v>222</v>
      </c>
      <c r="B5" s="206" t="s">
        <v>314</v>
      </c>
      <c r="C5" s="207" t="s">
        <v>313</v>
      </c>
      <c r="D5" s="242" t="s">
        <v>16</v>
      </c>
      <c r="E5" s="242"/>
      <c r="F5" s="242"/>
      <c r="G5" s="207" t="s">
        <v>221</v>
      </c>
      <c r="H5" s="242" t="s">
        <v>274</v>
      </c>
      <c r="I5" s="242" t="s">
        <v>310</v>
      </c>
      <c r="J5" s="242" t="s">
        <v>286</v>
      </c>
      <c r="K5" s="242" t="s">
        <v>275</v>
      </c>
      <c r="L5" s="207" t="s">
        <v>288</v>
      </c>
      <c r="M5" s="207" t="s">
        <v>289</v>
      </c>
    </row>
    <row r="6" spans="1:24" ht="17.25" customHeight="1" x14ac:dyDescent="0.2">
      <c r="A6" s="369" t="s">
        <v>3</v>
      </c>
      <c r="B6" s="218">
        <v>1</v>
      </c>
      <c r="C6" s="208">
        <v>1</v>
      </c>
      <c r="D6" s="204">
        <v>1.1999999999999999E-3</v>
      </c>
      <c r="E6" s="204"/>
      <c r="F6" s="204"/>
      <c r="G6" s="226">
        <v>10.199999999999999</v>
      </c>
      <c r="H6" s="199">
        <v>99</v>
      </c>
      <c r="I6" s="199">
        <v>95</v>
      </c>
      <c r="J6" s="211">
        <v>82.54</v>
      </c>
      <c r="K6" s="199">
        <v>60</v>
      </c>
      <c r="L6" s="1"/>
      <c r="M6" s="303"/>
    </row>
    <row r="7" spans="1:24" ht="17.25" customHeight="1" x14ac:dyDescent="0.2">
      <c r="A7" s="369"/>
      <c r="B7" s="218"/>
      <c r="C7" s="208"/>
      <c r="D7" s="204"/>
      <c r="E7" s="204"/>
      <c r="F7" s="204"/>
      <c r="G7" s="226"/>
      <c r="H7" s="199"/>
      <c r="I7" s="199"/>
      <c r="J7" s="211"/>
      <c r="K7" s="199"/>
      <c r="L7" s="1"/>
      <c r="M7" s="303"/>
      <c r="N7" s="250"/>
      <c r="O7" s="251"/>
      <c r="P7" s="251"/>
      <c r="Q7" s="251"/>
      <c r="R7" s="187"/>
      <c r="S7" s="187"/>
      <c r="T7" s="252"/>
      <c r="U7" s="252"/>
      <c r="V7" s="187"/>
      <c r="W7" s="253"/>
      <c r="X7" s="187"/>
    </row>
    <row r="8" spans="1:24" ht="17.25" customHeight="1" x14ac:dyDescent="0.2">
      <c r="A8" s="369"/>
      <c r="B8" s="218"/>
      <c r="C8" s="208"/>
      <c r="D8" s="204"/>
      <c r="E8" s="204"/>
      <c r="F8" s="204"/>
      <c r="G8" s="226"/>
      <c r="H8" s="199"/>
      <c r="I8" s="199"/>
      <c r="J8" s="211"/>
      <c r="K8" s="199"/>
      <c r="L8" s="1"/>
      <c r="M8" s="303"/>
      <c r="N8" s="250"/>
      <c r="O8" s="250"/>
      <c r="P8" s="251"/>
      <c r="Q8" s="251"/>
      <c r="R8" s="187"/>
      <c r="S8" s="187"/>
      <c r="T8" s="252"/>
      <c r="U8" s="252"/>
      <c r="V8" s="187"/>
      <c r="W8" s="254"/>
      <c r="X8" s="187"/>
    </row>
    <row r="9" spans="1:24" ht="17.25" customHeight="1" x14ac:dyDescent="0.2">
      <c r="A9" s="369"/>
      <c r="B9" s="218"/>
      <c r="C9" s="208"/>
      <c r="D9" s="204"/>
      <c r="E9" s="204"/>
      <c r="F9" s="204"/>
      <c r="G9" s="226"/>
      <c r="H9" s="199"/>
      <c r="I9" s="199"/>
      <c r="J9" s="211"/>
      <c r="K9" s="199"/>
      <c r="L9" s="1"/>
      <c r="M9" s="303"/>
      <c r="N9" s="250"/>
      <c r="O9" s="251"/>
      <c r="P9" s="251"/>
      <c r="Q9" s="251"/>
      <c r="R9" s="187"/>
      <c r="S9" s="187"/>
      <c r="T9" s="187"/>
      <c r="U9" s="187"/>
      <c r="V9" s="187"/>
      <c r="W9" s="254"/>
      <c r="X9" s="187"/>
    </row>
    <row r="10" spans="1:24" ht="17.25" customHeight="1" x14ac:dyDescent="0.2">
      <c r="A10" s="369"/>
      <c r="B10" s="230" t="s">
        <v>238</v>
      </c>
      <c r="C10" s="236">
        <f t="shared" ref="C10:K10" si="0">AVERAGE(C6:C9)</f>
        <v>1</v>
      </c>
      <c r="D10" s="228">
        <f t="shared" si="0"/>
        <v>1.1999999999999999E-3</v>
      </c>
      <c r="E10" s="228"/>
      <c r="F10" s="228"/>
      <c r="G10" s="229">
        <f t="shared" si="0"/>
        <v>10.199999999999999</v>
      </c>
      <c r="H10" s="229">
        <f t="shared" si="0"/>
        <v>99</v>
      </c>
      <c r="I10" s="229">
        <f t="shared" si="0"/>
        <v>95</v>
      </c>
      <c r="J10" s="229">
        <f t="shared" si="0"/>
        <v>82.54</v>
      </c>
      <c r="K10" s="229">
        <f t="shared" si="0"/>
        <v>60</v>
      </c>
      <c r="L10" s="304"/>
      <c r="M10" s="305"/>
      <c r="N10" s="250"/>
      <c r="O10" s="251"/>
      <c r="P10" s="251"/>
      <c r="Q10" s="251"/>
      <c r="R10" s="187"/>
      <c r="S10" s="187"/>
      <c r="T10" s="187"/>
      <c r="U10" s="187"/>
      <c r="V10" s="187"/>
      <c r="W10" s="254"/>
      <c r="X10" s="187"/>
    </row>
    <row r="11" spans="1:24" ht="17.25" customHeight="1" x14ac:dyDescent="0.2">
      <c r="A11" s="231"/>
      <c r="B11" s="232"/>
      <c r="C11" s="233"/>
      <c r="D11" s="234"/>
      <c r="E11" s="234"/>
      <c r="F11" s="234"/>
      <c r="G11" s="223"/>
      <c r="H11" s="223"/>
      <c r="I11" s="223"/>
      <c r="J11" s="223"/>
      <c r="K11" s="223"/>
      <c r="M11" s="286"/>
      <c r="N11" s="250"/>
      <c r="O11" s="251"/>
      <c r="P11" s="251"/>
      <c r="Q11" s="251"/>
      <c r="R11" s="187"/>
      <c r="S11" s="187"/>
      <c r="T11" s="252"/>
      <c r="U11" s="187"/>
      <c r="V11" s="187"/>
      <c r="W11" s="254"/>
      <c r="X11" s="187"/>
    </row>
    <row r="12" spans="1:24" ht="17.25" customHeight="1" x14ac:dyDescent="0.2">
      <c r="A12" s="369" t="s">
        <v>4</v>
      </c>
      <c r="B12" s="218">
        <v>1</v>
      </c>
      <c r="C12" s="208">
        <v>1</v>
      </c>
      <c r="D12" s="198">
        <v>0.12</v>
      </c>
      <c r="E12" s="198"/>
      <c r="F12" s="198"/>
      <c r="G12" s="226">
        <v>130</v>
      </c>
      <c r="H12" s="199">
        <v>99</v>
      </c>
      <c r="I12" s="199">
        <v>95</v>
      </c>
      <c r="J12" s="211">
        <v>11.7</v>
      </c>
      <c r="K12" s="199">
        <v>65</v>
      </c>
      <c r="L12" s="207"/>
      <c r="M12" s="207"/>
      <c r="N12" s="250"/>
      <c r="O12" s="251"/>
      <c r="P12" s="251"/>
      <c r="Q12" s="251"/>
      <c r="R12" s="187"/>
      <c r="S12" s="187"/>
      <c r="T12" s="252"/>
      <c r="U12" s="187"/>
      <c r="V12" s="187"/>
      <c r="W12" s="254"/>
      <c r="X12" s="187"/>
    </row>
    <row r="13" spans="1:24" ht="17.25" customHeight="1" x14ac:dyDescent="0.2">
      <c r="A13" s="369"/>
      <c r="B13" s="218">
        <v>2</v>
      </c>
      <c r="C13" s="208">
        <v>1</v>
      </c>
      <c r="D13" s="198">
        <v>0.12</v>
      </c>
      <c r="E13" s="198"/>
      <c r="F13" s="198"/>
      <c r="G13" s="226">
        <v>130</v>
      </c>
      <c r="H13" s="199">
        <v>99</v>
      </c>
      <c r="I13" s="199">
        <v>95</v>
      </c>
      <c r="J13" s="211">
        <v>11.7</v>
      </c>
      <c r="K13" s="199">
        <v>65</v>
      </c>
      <c r="L13" s="1"/>
      <c r="M13" s="303"/>
      <c r="N13" s="250"/>
      <c r="O13" s="251"/>
      <c r="P13" s="251"/>
      <c r="Q13" s="251"/>
      <c r="R13" s="187"/>
      <c r="S13" s="187"/>
      <c r="T13" s="252"/>
      <c r="U13" s="187"/>
      <c r="V13" s="187"/>
      <c r="W13" s="254"/>
      <c r="X13" s="187"/>
    </row>
    <row r="14" spans="1:24" ht="17.25" customHeight="1" x14ac:dyDescent="0.2">
      <c r="A14" s="369"/>
      <c r="B14" s="218">
        <v>3</v>
      </c>
      <c r="C14" s="208">
        <v>1</v>
      </c>
      <c r="D14" s="198">
        <v>0.12</v>
      </c>
      <c r="E14" s="198"/>
      <c r="F14" s="198"/>
      <c r="G14" s="226">
        <v>130</v>
      </c>
      <c r="H14" s="199">
        <v>99</v>
      </c>
      <c r="I14" s="199">
        <v>95</v>
      </c>
      <c r="J14" s="211">
        <v>11.7</v>
      </c>
      <c r="K14" s="199">
        <v>65</v>
      </c>
      <c r="L14" s="1"/>
      <c r="M14" s="303"/>
      <c r="N14" s="250"/>
      <c r="O14" s="251"/>
      <c r="P14" s="251"/>
      <c r="Q14" s="251"/>
      <c r="R14" s="187"/>
      <c r="S14" s="187"/>
      <c r="T14" s="252"/>
      <c r="U14" s="187"/>
      <c r="V14" s="255"/>
      <c r="W14" s="187"/>
      <c r="X14" s="187"/>
    </row>
    <row r="15" spans="1:24" ht="17.25" customHeight="1" x14ac:dyDescent="0.2">
      <c r="A15" s="369"/>
      <c r="B15" s="218">
        <v>4</v>
      </c>
      <c r="C15" s="208">
        <v>1</v>
      </c>
      <c r="D15" s="198">
        <v>0.12</v>
      </c>
      <c r="E15" s="198"/>
      <c r="F15" s="198"/>
      <c r="G15" s="226">
        <v>130</v>
      </c>
      <c r="H15" s="199">
        <v>99</v>
      </c>
      <c r="I15" s="199">
        <v>95</v>
      </c>
      <c r="J15" s="211">
        <v>11.7</v>
      </c>
      <c r="K15" s="199">
        <v>65</v>
      </c>
      <c r="L15" s="1"/>
      <c r="M15" s="303"/>
      <c r="N15" s="250"/>
      <c r="O15" s="251"/>
      <c r="P15" s="251"/>
      <c r="Q15" s="251"/>
      <c r="R15" s="187"/>
      <c r="S15" s="187"/>
      <c r="T15" s="252"/>
      <c r="U15" s="187"/>
      <c r="V15" s="255"/>
      <c r="W15" s="187"/>
      <c r="X15" s="187"/>
    </row>
    <row r="16" spans="1:24" ht="17.25" customHeight="1" x14ac:dyDescent="0.2">
      <c r="A16" s="369"/>
      <c r="B16" s="218">
        <v>5</v>
      </c>
      <c r="C16" s="208">
        <v>1</v>
      </c>
      <c r="D16" s="198">
        <v>0.12</v>
      </c>
      <c r="E16" s="198"/>
      <c r="F16" s="198"/>
      <c r="G16" s="226">
        <v>130</v>
      </c>
      <c r="H16" s="199">
        <v>99</v>
      </c>
      <c r="I16" s="199">
        <v>95</v>
      </c>
      <c r="J16" s="211">
        <v>11.7</v>
      </c>
      <c r="K16" s="199">
        <v>65</v>
      </c>
      <c r="L16" s="1"/>
      <c r="M16" s="303"/>
      <c r="N16" s="250"/>
      <c r="O16" s="251"/>
      <c r="P16" s="251"/>
      <c r="Q16" s="251"/>
      <c r="R16" s="187"/>
      <c r="S16" s="187"/>
      <c r="T16" s="252"/>
      <c r="U16" s="187"/>
      <c r="V16" s="255"/>
      <c r="W16" s="187"/>
      <c r="X16" s="187"/>
    </row>
    <row r="17" spans="1:24" ht="17.25" customHeight="1" x14ac:dyDescent="0.2">
      <c r="A17" s="369"/>
      <c r="B17" s="218">
        <v>6</v>
      </c>
      <c r="C17" s="208">
        <v>1</v>
      </c>
      <c r="D17" s="198">
        <v>0.12</v>
      </c>
      <c r="E17" s="198"/>
      <c r="F17" s="198"/>
      <c r="G17" s="226">
        <v>130</v>
      </c>
      <c r="H17" s="199">
        <v>99</v>
      </c>
      <c r="I17" s="199">
        <v>95</v>
      </c>
      <c r="J17" s="211">
        <v>11.7</v>
      </c>
      <c r="K17" s="199">
        <v>65</v>
      </c>
      <c r="L17" s="1"/>
      <c r="M17" s="303"/>
      <c r="N17" s="250"/>
      <c r="O17" s="251"/>
      <c r="P17" s="251"/>
      <c r="Q17" s="251"/>
      <c r="R17" s="187"/>
      <c r="S17" s="187"/>
      <c r="T17" s="252"/>
      <c r="U17" s="187"/>
      <c r="V17" s="255"/>
      <c r="W17" s="187"/>
      <c r="X17" s="187"/>
    </row>
    <row r="18" spans="1:24" ht="17.25" customHeight="1" x14ac:dyDescent="0.2">
      <c r="A18" s="369"/>
      <c r="B18" s="230" t="s">
        <v>238</v>
      </c>
      <c r="C18" s="236">
        <f>AVERAGE(C12:C17)</f>
        <v>1</v>
      </c>
      <c r="D18" s="235">
        <f>AVERAGE(D12:D17)</f>
        <v>0.12</v>
      </c>
      <c r="E18" s="235"/>
      <c r="F18" s="235"/>
      <c r="G18" s="306">
        <f>AVERAGE(G12:G17)</f>
        <v>130</v>
      </c>
      <c r="H18" s="199">
        <v>99</v>
      </c>
      <c r="I18" s="229">
        <f>AVERAGE(I12:I17)</f>
        <v>95</v>
      </c>
      <c r="J18" s="229">
        <f>AVERAGE(J12:J17)</f>
        <v>11.700000000000001</v>
      </c>
      <c r="K18" s="229">
        <f>AVERAGE(K12:K17)</f>
        <v>65</v>
      </c>
      <c r="L18" s="304"/>
      <c r="M18" s="305"/>
    </row>
    <row r="19" spans="1:24" ht="17.25" customHeight="1" x14ac:dyDescent="0.2">
      <c r="M19" s="286"/>
    </row>
    <row r="20" spans="1:24" ht="17.25" customHeight="1" x14ac:dyDescent="0.2">
      <c r="A20" s="365" t="s">
        <v>318</v>
      </c>
      <c r="B20" s="218">
        <v>1</v>
      </c>
      <c r="C20" s="208">
        <v>2</v>
      </c>
      <c r="D20" s="198">
        <v>0.12</v>
      </c>
      <c r="E20" s="198"/>
      <c r="F20" s="198"/>
      <c r="G20" s="226">
        <v>350</v>
      </c>
      <c r="H20" s="199">
        <v>85</v>
      </c>
      <c r="I20" s="199">
        <v>95</v>
      </c>
      <c r="J20" s="211">
        <v>13.6</v>
      </c>
      <c r="K20" s="199">
        <v>50</v>
      </c>
      <c r="L20" s="207"/>
      <c r="M20" s="207"/>
    </row>
    <row r="21" spans="1:24" ht="17.25" customHeight="1" x14ac:dyDescent="0.2">
      <c r="A21" s="366"/>
      <c r="B21" s="218"/>
      <c r="C21" s="208"/>
      <c r="D21" s="198"/>
      <c r="E21" s="198"/>
      <c r="F21" s="198"/>
      <c r="G21" s="226"/>
      <c r="H21" s="199"/>
      <c r="I21" s="199"/>
      <c r="J21" s="211"/>
      <c r="K21" s="199"/>
      <c r="L21" s="1"/>
      <c r="M21" s="303"/>
    </row>
    <row r="22" spans="1:24" ht="17.25" customHeight="1" x14ac:dyDescent="0.2">
      <c r="A22" s="366"/>
      <c r="B22" s="218"/>
      <c r="C22" s="208"/>
      <c r="D22" s="204"/>
      <c r="E22" s="204"/>
      <c r="F22" s="204"/>
      <c r="G22" s="226"/>
      <c r="H22" s="199"/>
      <c r="I22" s="199"/>
      <c r="J22" s="211"/>
      <c r="K22" s="199"/>
      <c r="L22" s="1"/>
      <c r="M22" s="303"/>
    </row>
    <row r="23" spans="1:24" ht="17.25" customHeight="1" x14ac:dyDescent="0.2">
      <c r="A23" s="367"/>
      <c r="B23" s="230" t="s">
        <v>238</v>
      </c>
      <c r="C23" s="236">
        <f t="shared" ref="C23:K23" si="1">AVERAGE(C20:C22)</f>
        <v>2</v>
      </c>
      <c r="D23" s="235">
        <f t="shared" si="1"/>
        <v>0.12</v>
      </c>
      <c r="E23" s="235"/>
      <c r="F23" s="235"/>
      <c r="G23" s="229">
        <f t="shared" si="1"/>
        <v>350</v>
      </c>
      <c r="H23" s="229">
        <f t="shared" si="1"/>
        <v>85</v>
      </c>
      <c r="I23" s="229">
        <f t="shared" si="1"/>
        <v>95</v>
      </c>
      <c r="J23" s="229">
        <f t="shared" si="1"/>
        <v>13.6</v>
      </c>
      <c r="K23" s="229">
        <f t="shared" si="1"/>
        <v>50</v>
      </c>
      <c r="L23" s="304"/>
      <c r="M23" s="305"/>
    </row>
    <row r="24" spans="1:24" ht="17.25" customHeight="1" x14ac:dyDescent="0.2">
      <c r="M24" s="286"/>
    </row>
    <row r="25" spans="1:24" ht="17.25" customHeight="1" x14ac:dyDescent="0.2">
      <c r="A25" s="369" t="s">
        <v>319</v>
      </c>
      <c r="B25" s="218">
        <v>1</v>
      </c>
      <c r="C25" s="208">
        <v>1</v>
      </c>
      <c r="D25" s="198">
        <v>0.12</v>
      </c>
      <c r="E25" s="198"/>
      <c r="F25" s="198"/>
      <c r="G25" s="226">
        <v>350</v>
      </c>
      <c r="H25" s="199">
        <v>85</v>
      </c>
      <c r="I25" s="199">
        <v>95</v>
      </c>
      <c r="J25" s="211">
        <v>10.1</v>
      </c>
      <c r="K25" s="199">
        <v>60</v>
      </c>
      <c r="L25" s="207"/>
      <c r="M25" s="207"/>
    </row>
    <row r="26" spans="1:24" ht="17.25" customHeight="1" x14ac:dyDescent="0.2">
      <c r="A26" s="369"/>
      <c r="B26" s="218">
        <v>2</v>
      </c>
      <c r="C26" s="208">
        <v>1</v>
      </c>
      <c r="D26" s="198">
        <v>0.12</v>
      </c>
      <c r="E26" s="198"/>
      <c r="F26" s="198"/>
      <c r="G26" s="226">
        <v>350</v>
      </c>
      <c r="H26" s="199">
        <v>85</v>
      </c>
      <c r="I26" s="199">
        <v>95</v>
      </c>
      <c r="J26" s="211">
        <v>10.1</v>
      </c>
      <c r="K26" s="199">
        <v>60</v>
      </c>
      <c r="L26" s="1"/>
      <c r="M26" s="303"/>
    </row>
    <row r="27" spans="1:24" ht="17.25" customHeight="1" x14ac:dyDescent="0.2">
      <c r="A27" s="369"/>
      <c r="B27" s="218">
        <v>3</v>
      </c>
      <c r="C27" s="208">
        <v>1</v>
      </c>
      <c r="D27" s="198">
        <v>0.12</v>
      </c>
      <c r="E27" s="198"/>
      <c r="F27" s="198"/>
      <c r="G27" s="226">
        <v>350</v>
      </c>
      <c r="H27" s="199">
        <v>85</v>
      </c>
      <c r="I27" s="199">
        <v>95</v>
      </c>
      <c r="J27" s="211">
        <v>7.2</v>
      </c>
      <c r="K27" s="199">
        <v>65</v>
      </c>
      <c r="L27" s="1"/>
      <c r="M27" s="303"/>
    </row>
    <row r="28" spans="1:24" ht="17.25" customHeight="1" x14ac:dyDescent="0.2">
      <c r="A28" s="369"/>
      <c r="B28" s="218"/>
      <c r="C28" s="208"/>
      <c r="D28" s="198"/>
      <c r="E28" s="198"/>
      <c r="F28" s="198"/>
      <c r="G28" s="226"/>
      <c r="H28" s="199"/>
      <c r="I28" s="199"/>
      <c r="J28" s="211"/>
      <c r="K28" s="199"/>
      <c r="L28" s="1"/>
      <c r="M28" s="303"/>
    </row>
    <row r="29" spans="1:24" ht="17.25" customHeight="1" x14ac:dyDescent="0.2">
      <c r="A29" s="369"/>
      <c r="B29" s="218"/>
      <c r="C29" s="208"/>
      <c r="D29" s="204"/>
      <c r="E29" s="204"/>
      <c r="F29" s="204"/>
      <c r="G29" s="226"/>
      <c r="H29" s="199"/>
      <c r="I29" s="199"/>
      <c r="J29" s="211"/>
      <c r="K29" s="199"/>
      <c r="L29" s="1"/>
      <c r="M29" s="303"/>
    </row>
    <row r="30" spans="1:24" ht="17.25" customHeight="1" x14ac:dyDescent="0.2">
      <c r="A30" s="369"/>
      <c r="B30" s="230" t="s">
        <v>238</v>
      </c>
      <c r="C30" s="236">
        <f t="shared" ref="C30:K30" si="2">AVERAGE(C25:C29)</f>
        <v>1</v>
      </c>
      <c r="D30" s="235">
        <f t="shared" si="2"/>
        <v>0.12</v>
      </c>
      <c r="E30" s="235"/>
      <c r="F30" s="235"/>
      <c r="G30" s="229">
        <f t="shared" si="2"/>
        <v>350</v>
      </c>
      <c r="H30" s="229">
        <f t="shared" si="2"/>
        <v>85</v>
      </c>
      <c r="I30" s="229">
        <f t="shared" si="2"/>
        <v>95</v>
      </c>
      <c r="J30" s="229">
        <f t="shared" si="2"/>
        <v>9.1333333333333329</v>
      </c>
      <c r="K30" s="229">
        <f t="shared" si="2"/>
        <v>61.666666666666664</v>
      </c>
      <c r="L30" s="304"/>
      <c r="M30" s="305"/>
    </row>
    <row r="31" spans="1:24" ht="17.25" customHeight="1" x14ac:dyDescent="0.2">
      <c r="M31" s="286"/>
    </row>
    <row r="32" spans="1:24" ht="17.25" customHeight="1" x14ac:dyDescent="0.2">
      <c r="A32" s="365" t="s">
        <v>6</v>
      </c>
      <c r="B32" s="206" t="s">
        <v>314</v>
      </c>
      <c r="C32" s="207" t="s">
        <v>313</v>
      </c>
      <c r="D32" s="242" t="s">
        <v>16</v>
      </c>
      <c r="E32" s="242" t="s">
        <v>283</v>
      </c>
      <c r="F32" s="242" t="s">
        <v>284</v>
      </c>
      <c r="G32" s="207" t="s">
        <v>221</v>
      </c>
      <c r="H32" s="242" t="s">
        <v>274</v>
      </c>
      <c r="I32" s="242" t="s">
        <v>310</v>
      </c>
      <c r="J32" s="242" t="s">
        <v>286</v>
      </c>
      <c r="K32" s="242" t="s">
        <v>275</v>
      </c>
      <c r="L32" s="207" t="s">
        <v>288</v>
      </c>
      <c r="M32" s="207" t="s">
        <v>289</v>
      </c>
    </row>
    <row r="33" spans="1:13" ht="17.25" customHeight="1" x14ac:dyDescent="0.2">
      <c r="A33" s="366"/>
      <c r="B33" s="218">
        <v>1</v>
      </c>
      <c r="C33" s="208">
        <v>144</v>
      </c>
      <c r="D33" s="199">
        <v>1</v>
      </c>
      <c r="E33" s="199">
        <v>1000</v>
      </c>
      <c r="F33" s="199">
        <v>1.37</v>
      </c>
      <c r="G33" s="247">
        <f>(E33/F33)/39.37</f>
        <v>18.540183065767593</v>
      </c>
      <c r="H33" s="199">
        <v>80</v>
      </c>
      <c r="I33" s="199">
        <v>95</v>
      </c>
      <c r="J33" s="211">
        <v>11.5</v>
      </c>
      <c r="K33" s="199">
        <v>80</v>
      </c>
      <c r="L33" s="226">
        <v>1.5</v>
      </c>
      <c r="M33" s="226">
        <v>55</v>
      </c>
    </row>
    <row r="34" spans="1:13" ht="17.25" customHeight="1" x14ac:dyDescent="0.2">
      <c r="A34" s="366"/>
      <c r="B34" s="218">
        <v>2</v>
      </c>
      <c r="C34" s="208">
        <v>144</v>
      </c>
      <c r="D34" s="199">
        <v>1</v>
      </c>
      <c r="E34" s="199">
        <v>1000</v>
      </c>
      <c r="F34" s="199">
        <v>1.37</v>
      </c>
      <c r="G34" s="247">
        <f>(E34/F34)/39.37</f>
        <v>18.540183065767593</v>
      </c>
      <c r="H34" s="199">
        <v>80</v>
      </c>
      <c r="I34" s="199">
        <v>95</v>
      </c>
      <c r="J34" s="211">
        <v>11.5</v>
      </c>
      <c r="K34" s="199">
        <v>80</v>
      </c>
      <c r="L34" s="226">
        <v>1.5</v>
      </c>
      <c r="M34" s="226">
        <v>55</v>
      </c>
    </row>
    <row r="35" spans="1:13" ht="17.25" customHeight="1" x14ac:dyDescent="0.2">
      <c r="A35" s="366"/>
      <c r="B35" s="218">
        <v>3</v>
      </c>
      <c r="C35" s="208">
        <v>144</v>
      </c>
      <c r="D35" s="199">
        <v>1</v>
      </c>
      <c r="E35" s="198">
        <v>1000</v>
      </c>
      <c r="F35" s="199">
        <v>1.37</v>
      </c>
      <c r="G35" s="247">
        <f>(E35/F35)/39.37</f>
        <v>18.540183065767593</v>
      </c>
      <c r="H35" s="199">
        <v>80</v>
      </c>
      <c r="I35" s="199">
        <v>95</v>
      </c>
      <c r="J35" s="211">
        <v>11.5</v>
      </c>
      <c r="K35" s="199">
        <v>80</v>
      </c>
      <c r="L35" s="226">
        <v>1.5</v>
      </c>
      <c r="M35" s="226">
        <v>55</v>
      </c>
    </row>
    <row r="36" spans="1:13" ht="17.25" customHeight="1" x14ac:dyDescent="0.2">
      <c r="A36" s="366"/>
      <c r="B36" s="218"/>
      <c r="C36" s="208"/>
      <c r="D36" s="199"/>
      <c r="E36" s="198"/>
      <c r="F36" s="198"/>
      <c r="G36" s="226"/>
      <c r="H36" s="199"/>
      <c r="I36" s="199"/>
      <c r="J36" s="211"/>
      <c r="K36" s="199"/>
      <c r="L36" s="249"/>
      <c r="M36" s="226"/>
    </row>
    <row r="37" spans="1:13" ht="17.25" customHeight="1" x14ac:dyDescent="0.2">
      <c r="A37" s="366"/>
      <c r="B37" s="218"/>
      <c r="C37" s="208"/>
      <c r="D37" s="199"/>
      <c r="E37" s="204"/>
      <c r="F37" s="204"/>
      <c r="G37" s="226"/>
      <c r="H37" s="199"/>
      <c r="I37" s="199"/>
      <c r="J37" s="211"/>
      <c r="K37" s="199"/>
      <c r="L37" s="249"/>
      <c r="M37" s="226"/>
    </row>
    <row r="38" spans="1:13" ht="17.25" customHeight="1" x14ac:dyDescent="0.2">
      <c r="A38" s="367"/>
      <c r="B38" s="230" t="s">
        <v>238</v>
      </c>
      <c r="C38" s="236">
        <f t="shared" ref="C38:M38" si="3">AVERAGE(C33:C37)</f>
        <v>144</v>
      </c>
      <c r="D38" s="229">
        <f t="shared" si="3"/>
        <v>1</v>
      </c>
      <c r="E38" s="229">
        <f t="shared" si="3"/>
        <v>1000</v>
      </c>
      <c r="F38" s="229">
        <f t="shared" si="3"/>
        <v>1.37</v>
      </c>
      <c r="G38" s="229">
        <f t="shared" si="3"/>
        <v>18.540183065767593</v>
      </c>
      <c r="H38" s="229">
        <f t="shared" si="3"/>
        <v>80</v>
      </c>
      <c r="I38" s="229">
        <f t="shared" si="3"/>
        <v>95</v>
      </c>
      <c r="J38" s="229">
        <f t="shared" si="3"/>
        <v>11.5</v>
      </c>
      <c r="K38" s="229">
        <f t="shared" si="3"/>
        <v>80</v>
      </c>
      <c r="L38" s="229">
        <f t="shared" si="3"/>
        <v>1.5</v>
      </c>
      <c r="M38" s="229">
        <f t="shared" si="3"/>
        <v>55</v>
      </c>
    </row>
  </sheetData>
  <mergeCells count="6">
    <mergeCell ref="A32:A38"/>
    <mergeCell ref="A1:M1"/>
    <mergeCell ref="A25:A30"/>
    <mergeCell ref="A20:A23"/>
    <mergeCell ref="A6:A10"/>
    <mergeCell ref="A12:A1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1"/>
  <sheetViews>
    <sheetView topLeftCell="A16" zoomScaleSheetLayoutView="100" workbookViewId="0">
      <selection activeCell="D42" sqref="D42"/>
    </sheetView>
  </sheetViews>
  <sheetFormatPr defaultRowHeight="12.75" x14ac:dyDescent="0.2"/>
  <cols>
    <col min="1" max="1" width="6.5703125" customWidth="1"/>
    <col min="2" max="3" width="12.28515625" customWidth="1"/>
    <col min="4" max="4" width="13.140625" customWidth="1"/>
    <col min="5" max="6" width="12.28515625" customWidth="1"/>
    <col min="7" max="7" width="12.7109375" customWidth="1"/>
    <col min="8" max="9" width="12.28515625" customWidth="1"/>
  </cols>
  <sheetData>
    <row r="1" spans="1:10" ht="24" customHeight="1" x14ac:dyDescent="0.25">
      <c r="A1" s="348" t="s">
        <v>281</v>
      </c>
      <c r="B1" s="348"/>
      <c r="C1" s="348"/>
      <c r="D1" s="348"/>
      <c r="E1" s="348"/>
      <c r="F1" s="348"/>
      <c r="G1" s="348"/>
      <c r="H1" s="348"/>
      <c r="I1" s="348"/>
    </row>
    <row r="2" spans="1:10" ht="24" customHeight="1" x14ac:dyDescent="0.2">
      <c r="A2" s="179" t="s">
        <v>263</v>
      </c>
      <c r="B2" s="301">
        <f ca="1">TODAY()</f>
        <v>45588</v>
      </c>
      <c r="C2" s="179"/>
      <c r="D2" s="179"/>
      <c r="E2" s="179"/>
      <c r="F2" s="179"/>
      <c r="G2" s="179"/>
      <c r="H2" s="179"/>
      <c r="I2" s="179"/>
    </row>
    <row r="3" spans="1:10" ht="24" customHeight="1" x14ac:dyDescent="0.2">
      <c r="A3" s="370" t="s">
        <v>249</v>
      </c>
      <c r="B3" s="370" t="s">
        <v>262</v>
      </c>
      <c r="C3" s="182" t="s">
        <v>250</v>
      </c>
      <c r="D3" s="182" t="s">
        <v>252</v>
      </c>
      <c r="E3" s="184" t="s">
        <v>255</v>
      </c>
      <c r="F3" s="184" t="s">
        <v>256</v>
      </c>
      <c r="G3" s="184" t="s">
        <v>257</v>
      </c>
      <c r="H3" s="184" t="s">
        <v>259</v>
      </c>
      <c r="I3" s="370" t="s">
        <v>233</v>
      </c>
    </row>
    <row r="4" spans="1:10" ht="24" customHeight="1" x14ac:dyDescent="0.2">
      <c r="A4" s="370"/>
      <c r="B4" s="370"/>
      <c r="C4" s="183" t="s">
        <v>251</v>
      </c>
      <c r="D4" s="183" t="s">
        <v>253</v>
      </c>
      <c r="E4" s="184" t="s">
        <v>254</v>
      </c>
      <c r="F4" s="184" t="s">
        <v>254</v>
      </c>
      <c r="G4" s="184" t="s">
        <v>258</v>
      </c>
      <c r="H4" s="184" t="s">
        <v>260</v>
      </c>
      <c r="I4" s="370"/>
    </row>
    <row r="5" spans="1:10" ht="24" customHeight="1" x14ac:dyDescent="0.2">
      <c r="A5" s="370"/>
      <c r="B5" s="370"/>
      <c r="C5" s="184" t="s">
        <v>264</v>
      </c>
      <c r="D5" s="184" t="s">
        <v>266</v>
      </c>
      <c r="E5" s="185">
        <v>10</v>
      </c>
      <c r="F5" s="185">
        <v>25.4</v>
      </c>
      <c r="G5" s="185">
        <v>210</v>
      </c>
      <c r="H5" s="185">
        <v>42</v>
      </c>
      <c r="I5" s="370"/>
    </row>
    <row r="6" spans="1:10" ht="24" customHeight="1" x14ac:dyDescent="0.2">
      <c r="A6" s="370"/>
      <c r="B6" s="370"/>
      <c r="C6" s="184" t="s">
        <v>265</v>
      </c>
      <c r="D6" s="184" t="s">
        <v>267</v>
      </c>
      <c r="E6" s="184" t="s">
        <v>268</v>
      </c>
      <c r="F6" s="184" t="s">
        <v>269</v>
      </c>
      <c r="G6" s="184" t="s">
        <v>270</v>
      </c>
      <c r="H6" s="184" t="s">
        <v>271</v>
      </c>
      <c r="I6" s="370"/>
    </row>
    <row r="7" spans="1:10" ht="24" customHeight="1" x14ac:dyDescent="0.2">
      <c r="A7" s="370"/>
      <c r="B7" s="370"/>
      <c r="C7" s="185">
        <v>3</v>
      </c>
      <c r="D7" s="185">
        <v>3</v>
      </c>
      <c r="E7" s="185">
        <v>2</v>
      </c>
      <c r="F7" s="185">
        <v>1</v>
      </c>
      <c r="G7" s="185">
        <v>1</v>
      </c>
      <c r="H7" s="185">
        <v>2</v>
      </c>
      <c r="I7" s="370"/>
    </row>
    <row r="8" spans="1:10" ht="24" customHeight="1" x14ac:dyDescent="0.2">
      <c r="A8" s="186"/>
      <c r="B8" s="186"/>
      <c r="C8" s="187"/>
      <c r="D8" s="187"/>
      <c r="E8" s="187"/>
      <c r="F8" s="187"/>
      <c r="G8" s="187"/>
      <c r="H8" s="187"/>
      <c r="I8" s="186"/>
    </row>
    <row r="9" spans="1:10" ht="24" customHeight="1" x14ac:dyDescent="0.2">
      <c r="A9" s="174">
        <v>1</v>
      </c>
      <c r="B9" s="174" t="s">
        <v>320</v>
      </c>
      <c r="C9" s="177">
        <v>3</v>
      </c>
      <c r="D9" s="178">
        <v>3</v>
      </c>
      <c r="E9" s="177">
        <v>11</v>
      </c>
      <c r="F9" s="177">
        <v>18.5</v>
      </c>
      <c r="G9" s="177">
        <v>200</v>
      </c>
      <c r="H9" s="177">
        <v>38</v>
      </c>
      <c r="I9" s="188">
        <f>(0.92)-(((C9+D9)+((E9-$E$5)/1)*($E$7)+(($F$5-F9)/1*($F$7))+(($G$5-G9)/10*($G$7))+(($H$5-H9)/1*($H$7)))/100)</f>
        <v>0.68100000000000005</v>
      </c>
      <c r="J9" s="311"/>
    </row>
    <row r="10" spans="1:10" ht="24" customHeight="1" x14ac:dyDescent="0.2">
      <c r="A10" s="175">
        <v>2</v>
      </c>
      <c r="B10" s="307" t="s">
        <v>321</v>
      </c>
      <c r="C10" s="308">
        <v>3</v>
      </c>
      <c r="D10" s="181">
        <v>3</v>
      </c>
      <c r="E10" s="181">
        <v>11</v>
      </c>
      <c r="F10" s="181">
        <v>18.5</v>
      </c>
      <c r="G10" s="176">
        <v>200</v>
      </c>
      <c r="H10" s="309">
        <v>38</v>
      </c>
      <c r="I10" s="188">
        <f t="shared" ref="I10:I21" si="0">(0.92)-(((C10+D10)+((E10-$E$5)/1)*($E$7)+(($F$5-F10)/1*($F$7))+(($G$5-G10)/10*($G$7))+(($H$5-H10)/1*($H$7)))/100)</f>
        <v>0.68100000000000005</v>
      </c>
    </row>
    <row r="11" spans="1:10" ht="24" customHeight="1" x14ac:dyDescent="0.2">
      <c r="A11" s="175">
        <v>3</v>
      </c>
      <c r="B11" s="307" t="s">
        <v>321</v>
      </c>
      <c r="C11" s="308">
        <v>3</v>
      </c>
      <c r="D11" s="181">
        <v>3</v>
      </c>
      <c r="E11" s="177">
        <v>11</v>
      </c>
      <c r="F11" s="181">
        <v>18.5</v>
      </c>
      <c r="G11" s="177">
        <v>200</v>
      </c>
      <c r="H11" s="309">
        <v>38</v>
      </c>
      <c r="I11" s="188">
        <f t="shared" si="0"/>
        <v>0.68100000000000005</v>
      </c>
    </row>
    <row r="12" spans="1:10" ht="24" customHeight="1" x14ac:dyDescent="0.2">
      <c r="A12" s="175">
        <v>4</v>
      </c>
      <c r="B12" s="307" t="s">
        <v>321</v>
      </c>
      <c r="C12" s="310">
        <v>3</v>
      </c>
      <c r="D12" s="181">
        <v>3</v>
      </c>
      <c r="E12" s="181">
        <v>11</v>
      </c>
      <c r="F12" s="181">
        <v>18.5</v>
      </c>
      <c r="G12" s="176">
        <v>200</v>
      </c>
      <c r="H12" s="309">
        <v>38</v>
      </c>
      <c r="I12" s="188">
        <f t="shared" si="0"/>
        <v>0.68100000000000005</v>
      </c>
    </row>
    <row r="13" spans="1:10" ht="24" customHeight="1" x14ac:dyDescent="0.2">
      <c r="A13" s="175">
        <v>5</v>
      </c>
      <c r="B13" s="175" t="s">
        <v>322</v>
      </c>
      <c r="C13" s="308">
        <v>3</v>
      </c>
      <c r="D13" s="181">
        <v>3</v>
      </c>
      <c r="E13" s="177">
        <v>11</v>
      </c>
      <c r="F13" s="181">
        <v>18.5</v>
      </c>
      <c r="G13" s="177">
        <v>200</v>
      </c>
      <c r="H13" s="309">
        <v>38</v>
      </c>
      <c r="I13" s="188">
        <f t="shared" si="0"/>
        <v>0.68100000000000005</v>
      </c>
    </row>
    <row r="14" spans="1:10" ht="24" customHeight="1" x14ac:dyDescent="0.2">
      <c r="A14" s="175">
        <v>6</v>
      </c>
      <c r="B14" s="307" t="s">
        <v>321</v>
      </c>
      <c r="C14" s="308">
        <v>3</v>
      </c>
      <c r="D14" s="181">
        <v>3</v>
      </c>
      <c r="E14" s="181">
        <v>11</v>
      </c>
      <c r="F14" s="181">
        <v>18.5</v>
      </c>
      <c r="G14" s="176">
        <v>200</v>
      </c>
      <c r="H14" s="309">
        <v>38</v>
      </c>
      <c r="I14" s="188">
        <f t="shared" si="0"/>
        <v>0.68100000000000005</v>
      </c>
    </row>
    <row r="15" spans="1:10" ht="24" customHeight="1" x14ac:dyDescent="0.2">
      <c r="A15" s="175">
        <v>7</v>
      </c>
      <c r="B15" s="307" t="s">
        <v>321</v>
      </c>
      <c r="C15" s="308">
        <v>3</v>
      </c>
      <c r="D15" s="181">
        <v>3</v>
      </c>
      <c r="E15" s="181">
        <v>11</v>
      </c>
      <c r="F15" s="181">
        <v>18.5</v>
      </c>
      <c r="G15" s="177">
        <v>200</v>
      </c>
      <c r="H15" s="309">
        <v>38</v>
      </c>
      <c r="I15" s="188">
        <f t="shared" si="0"/>
        <v>0.68100000000000005</v>
      </c>
    </row>
    <row r="16" spans="1:10" ht="24" customHeight="1" x14ac:dyDescent="0.2">
      <c r="A16" s="175">
        <v>8</v>
      </c>
      <c r="B16" s="307" t="s">
        <v>321</v>
      </c>
      <c r="C16" s="308">
        <v>3</v>
      </c>
      <c r="D16" s="181">
        <v>3</v>
      </c>
      <c r="E16" s="181">
        <v>11</v>
      </c>
      <c r="F16" s="181">
        <v>18.5</v>
      </c>
      <c r="G16" s="176">
        <v>200</v>
      </c>
      <c r="H16" s="309">
        <v>38</v>
      </c>
      <c r="I16" s="188">
        <f t="shared" si="0"/>
        <v>0.68100000000000005</v>
      </c>
    </row>
    <row r="17" spans="1:9" ht="24" customHeight="1" x14ac:dyDescent="0.2">
      <c r="A17" s="175">
        <v>9</v>
      </c>
      <c r="B17" s="307" t="s">
        <v>321</v>
      </c>
      <c r="C17" s="308">
        <v>3</v>
      </c>
      <c r="D17" s="181">
        <v>3</v>
      </c>
      <c r="E17" s="181">
        <v>11</v>
      </c>
      <c r="F17" s="181">
        <v>18.5</v>
      </c>
      <c r="G17" s="177">
        <v>200</v>
      </c>
      <c r="H17" s="309">
        <v>38</v>
      </c>
      <c r="I17" s="188">
        <f t="shared" si="0"/>
        <v>0.68100000000000005</v>
      </c>
    </row>
    <row r="18" spans="1:9" ht="24" customHeight="1" x14ac:dyDescent="0.2">
      <c r="A18" s="175">
        <v>10</v>
      </c>
      <c r="B18" s="307" t="s">
        <v>321</v>
      </c>
      <c r="C18" s="308">
        <v>3</v>
      </c>
      <c r="D18" s="181">
        <v>3</v>
      </c>
      <c r="E18" s="181">
        <v>11</v>
      </c>
      <c r="F18" s="181">
        <v>18.5</v>
      </c>
      <c r="G18" s="176">
        <v>200</v>
      </c>
      <c r="H18" s="309">
        <v>38</v>
      </c>
      <c r="I18" s="188">
        <f t="shared" si="0"/>
        <v>0.68100000000000005</v>
      </c>
    </row>
    <row r="19" spans="1:9" ht="24" customHeight="1" x14ac:dyDescent="0.2">
      <c r="A19" s="175">
        <v>11</v>
      </c>
      <c r="B19" s="307" t="s">
        <v>321</v>
      </c>
      <c r="C19" s="308">
        <v>3</v>
      </c>
      <c r="D19" s="181">
        <v>3</v>
      </c>
      <c r="E19" s="181">
        <v>11</v>
      </c>
      <c r="F19" s="181">
        <v>18.5</v>
      </c>
      <c r="G19" s="177">
        <v>200</v>
      </c>
      <c r="H19" s="309">
        <v>38</v>
      </c>
      <c r="I19" s="188">
        <f t="shared" si="0"/>
        <v>0.68100000000000005</v>
      </c>
    </row>
    <row r="20" spans="1:9" ht="24" customHeight="1" x14ac:dyDescent="0.2">
      <c r="A20" s="175">
        <v>12</v>
      </c>
      <c r="B20" s="175" t="s">
        <v>323</v>
      </c>
      <c r="C20" s="308">
        <v>3</v>
      </c>
      <c r="D20" s="181">
        <v>3</v>
      </c>
      <c r="E20" s="181">
        <v>11</v>
      </c>
      <c r="F20" s="181">
        <v>18.5</v>
      </c>
      <c r="G20" s="177">
        <v>200</v>
      </c>
      <c r="H20" s="309">
        <v>38</v>
      </c>
      <c r="I20" s="188">
        <f t="shared" si="0"/>
        <v>0.68100000000000005</v>
      </c>
    </row>
    <row r="21" spans="1:9" ht="24" customHeight="1" x14ac:dyDescent="0.2">
      <c r="A21" s="175">
        <v>13</v>
      </c>
      <c r="B21" s="307" t="s">
        <v>321</v>
      </c>
      <c r="C21" s="308">
        <v>3</v>
      </c>
      <c r="D21" s="181">
        <v>3</v>
      </c>
      <c r="E21" s="181">
        <v>11</v>
      </c>
      <c r="F21" s="181">
        <v>18.5</v>
      </c>
      <c r="G21" s="176">
        <v>200</v>
      </c>
      <c r="H21" s="309">
        <v>38</v>
      </c>
      <c r="I21" s="188">
        <f t="shared" si="0"/>
        <v>0.68100000000000005</v>
      </c>
    </row>
  </sheetData>
  <mergeCells count="4">
    <mergeCell ref="A1:I1"/>
    <mergeCell ref="A3:A7"/>
    <mergeCell ref="B3:B7"/>
    <mergeCell ref="I3:I7"/>
  </mergeCells>
  <pageMargins left="0.25" right="0" top="0" bottom="0" header="0" footer="0"/>
  <pageSetup paperSize="5" scale="98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26"/>
  <sheetViews>
    <sheetView topLeftCell="A10" zoomScaleSheetLayoutView="100" workbookViewId="0">
      <selection activeCell="C23" sqref="C23"/>
    </sheetView>
  </sheetViews>
  <sheetFormatPr defaultRowHeight="12.75" x14ac:dyDescent="0.2"/>
  <cols>
    <col min="1" max="8" width="10.7109375" customWidth="1"/>
    <col min="9" max="9" width="12.7109375" customWidth="1"/>
    <col min="10" max="14" width="10.7109375" customWidth="1"/>
  </cols>
  <sheetData>
    <row r="1" spans="1:16" ht="24" customHeight="1" x14ac:dyDescent="0.2">
      <c r="A1" s="374" t="s">
        <v>280</v>
      </c>
      <c r="B1" s="374"/>
      <c r="C1" s="374"/>
      <c r="D1" s="374"/>
      <c r="E1" s="374"/>
      <c r="F1" s="374"/>
      <c r="G1" s="374"/>
      <c r="H1" s="374"/>
      <c r="I1" s="374"/>
      <c r="J1" s="374"/>
      <c r="K1" s="374"/>
      <c r="L1" s="374"/>
      <c r="M1" s="374"/>
      <c r="N1" s="374"/>
    </row>
    <row r="2" spans="1:16" ht="24" customHeight="1" x14ac:dyDescent="0.2">
      <c r="A2" s="6" t="str">
        <f>UKG!A2:C2</f>
        <v>Date</v>
      </c>
      <c r="B2" s="257">
        <f ca="1">UKG!C2</f>
        <v>45588</v>
      </c>
    </row>
    <row r="3" spans="1:16" ht="24" customHeight="1" x14ac:dyDescent="0.2">
      <c r="A3" s="371" t="s">
        <v>239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3"/>
    </row>
    <row r="4" spans="1:16" ht="24" customHeight="1" x14ac:dyDescent="0.2">
      <c r="A4" s="220" t="s">
        <v>234</v>
      </c>
      <c r="B4" s="207" t="s">
        <v>240</v>
      </c>
      <c r="C4" s="220" t="s">
        <v>235</v>
      </c>
      <c r="D4" s="220" t="s">
        <v>94</v>
      </c>
      <c r="E4" s="220" t="s">
        <v>261</v>
      </c>
      <c r="F4" s="220" t="s">
        <v>48</v>
      </c>
      <c r="G4" s="207" t="s">
        <v>311</v>
      </c>
      <c r="H4" s="209" t="s">
        <v>232</v>
      </c>
      <c r="I4" s="209" t="s">
        <v>310</v>
      </c>
      <c r="J4" s="220" t="s">
        <v>233</v>
      </c>
      <c r="K4" s="207" t="s">
        <v>287</v>
      </c>
      <c r="L4" s="207" t="s">
        <v>289</v>
      </c>
      <c r="M4" s="207" t="s">
        <v>288</v>
      </c>
      <c r="N4" s="207" t="s">
        <v>289</v>
      </c>
    </row>
    <row r="5" spans="1:16" ht="24" customHeight="1" x14ac:dyDescent="0.2">
      <c r="A5" s="174">
        <v>1</v>
      </c>
      <c r="B5" s="208">
        <v>1</v>
      </c>
      <c r="C5" s="210">
        <v>1200</v>
      </c>
      <c r="D5" s="199">
        <v>41.3</v>
      </c>
      <c r="E5" s="180">
        <v>19500</v>
      </c>
      <c r="F5" s="199">
        <v>27.66</v>
      </c>
      <c r="G5" s="211">
        <v>96</v>
      </c>
      <c r="H5" s="205">
        <f t="shared" ref="H5:H15" si="0">(7.2*E5*(G5/100))/(D5*F5)</f>
        <v>117.98753105418793</v>
      </c>
      <c r="I5" s="296">
        <v>95</v>
      </c>
      <c r="J5" s="192">
        <f>MF!I9</f>
        <v>0.68100000000000005</v>
      </c>
      <c r="K5" s="211">
        <v>5</v>
      </c>
      <c r="L5" s="211">
        <v>70</v>
      </c>
      <c r="M5" s="211">
        <v>1.5</v>
      </c>
      <c r="N5" s="226">
        <v>55</v>
      </c>
    </row>
    <row r="6" spans="1:16" ht="24" customHeight="1" x14ac:dyDescent="0.2">
      <c r="A6" s="175">
        <v>2</v>
      </c>
      <c r="B6" s="208">
        <v>1</v>
      </c>
      <c r="C6" s="210">
        <v>1200</v>
      </c>
      <c r="D6" s="199">
        <v>41.3</v>
      </c>
      <c r="E6" s="180">
        <v>19500</v>
      </c>
      <c r="F6" s="199">
        <v>27.66</v>
      </c>
      <c r="G6" s="211">
        <v>96</v>
      </c>
      <c r="H6" s="205">
        <f t="shared" si="0"/>
        <v>117.98753105418793</v>
      </c>
      <c r="I6" s="296">
        <v>95</v>
      </c>
      <c r="J6" s="192">
        <f>MF!I10</f>
        <v>0.68100000000000005</v>
      </c>
      <c r="K6" s="211">
        <v>5</v>
      </c>
      <c r="L6" s="211">
        <v>70</v>
      </c>
      <c r="M6" s="211">
        <v>1.5</v>
      </c>
      <c r="N6" s="226">
        <v>55</v>
      </c>
    </row>
    <row r="7" spans="1:16" ht="24" customHeight="1" x14ac:dyDescent="0.2">
      <c r="A7" s="174">
        <v>3</v>
      </c>
      <c r="B7" s="208">
        <v>1</v>
      </c>
      <c r="C7" s="210">
        <v>1200</v>
      </c>
      <c r="D7" s="199">
        <v>41.3</v>
      </c>
      <c r="E7" s="180">
        <v>19500</v>
      </c>
      <c r="F7" s="199">
        <v>27.66</v>
      </c>
      <c r="G7" s="211">
        <v>96</v>
      </c>
      <c r="H7" s="205">
        <f t="shared" si="0"/>
        <v>117.98753105418793</v>
      </c>
      <c r="I7" s="296">
        <v>95</v>
      </c>
      <c r="J7" s="192">
        <f>MF!I11</f>
        <v>0.68100000000000005</v>
      </c>
      <c r="K7" s="211">
        <v>5</v>
      </c>
      <c r="L7" s="211">
        <v>70</v>
      </c>
      <c r="M7" s="211">
        <v>1.5</v>
      </c>
      <c r="N7" s="226">
        <v>55</v>
      </c>
    </row>
    <row r="8" spans="1:16" ht="24" customHeight="1" x14ac:dyDescent="0.2">
      <c r="A8" s="175">
        <v>4</v>
      </c>
      <c r="B8" s="208">
        <v>1</v>
      </c>
      <c r="C8" s="210">
        <v>1200</v>
      </c>
      <c r="D8" s="199">
        <v>41.3</v>
      </c>
      <c r="E8" s="180">
        <v>19500</v>
      </c>
      <c r="F8" s="199">
        <v>27.66</v>
      </c>
      <c r="G8" s="211">
        <v>96</v>
      </c>
      <c r="H8" s="205">
        <f t="shared" si="0"/>
        <v>117.98753105418793</v>
      </c>
      <c r="I8" s="296">
        <v>95</v>
      </c>
      <c r="J8" s="192">
        <f>MF!I12</f>
        <v>0.68100000000000005</v>
      </c>
      <c r="K8" s="211">
        <v>5</v>
      </c>
      <c r="L8" s="211">
        <v>70</v>
      </c>
      <c r="M8" s="211">
        <v>1.5</v>
      </c>
      <c r="N8" s="226">
        <v>55</v>
      </c>
    </row>
    <row r="9" spans="1:16" ht="24" customHeight="1" x14ac:dyDescent="0.2">
      <c r="A9" s="174">
        <v>5</v>
      </c>
      <c r="B9" s="208">
        <v>1</v>
      </c>
      <c r="C9" s="210">
        <v>1200</v>
      </c>
      <c r="D9" s="199">
        <v>41.3</v>
      </c>
      <c r="E9" s="180">
        <v>19500</v>
      </c>
      <c r="F9" s="199">
        <v>27.66</v>
      </c>
      <c r="G9" s="211">
        <v>96</v>
      </c>
      <c r="H9" s="205">
        <f t="shared" si="0"/>
        <v>117.98753105418793</v>
      </c>
      <c r="I9" s="296">
        <v>95</v>
      </c>
      <c r="J9" s="192">
        <f>MF!I13</f>
        <v>0.68100000000000005</v>
      </c>
      <c r="K9" s="211">
        <v>5</v>
      </c>
      <c r="L9" s="211">
        <v>70</v>
      </c>
      <c r="M9" s="211">
        <v>1.5</v>
      </c>
      <c r="N9" s="226">
        <v>55</v>
      </c>
    </row>
    <row r="10" spans="1:16" ht="24" customHeight="1" x14ac:dyDescent="0.2">
      <c r="A10" s="175">
        <v>6</v>
      </c>
      <c r="B10" s="208">
        <v>1</v>
      </c>
      <c r="C10" s="210">
        <v>1200</v>
      </c>
      <c r="D10" s="199">
        <v>41.3</v>
      </c>
      <c r="E10" s="180">
        <v>19500</v>
      </c>
      <c r="F10" s="199">
        <v>27.66</v>
      </c>
      <c r="G10" s="211">
        <v>96</v>
      </c>
      <c r="H10" s="205">
        <f t="shared" si="0"/>
        <v>117.98753105418793</v>
      </c>
      <c r="I10" s="296">
        <v>95</v>
      </c>
      <c r="J10" s="192">
        <f>MF!I14</f>
        <v>0.68100000000000005</v>
      </c>
      <c r="K10" s="211">
        <v>5</v>
      </c>
      <c r="L10" s="211">
        <v>70</v>
      </c>
      <c r="M10" s="211">
        <v>1.5</v>
      </c>
      <c r="N10" s="226">
        <v>55</v>
      </c>
    </row>
    <row r="11" spans="1:16" ht="24" customHeight="1" x14ac:dyDescent="0.2">
      <c r="A11" s="174">
        <v>7</v>
      </c>
      <c r="B11" s="208">
        <v>1</v>
      </c>
      <c r="C11" s="210">
        <v>1200</v>
      </c>
      <c r="D11" s="199">
        <v>41.3</v>
      </c>
      <c r="E11" s="180">
        <v>19500</v>
      </c>
      <c r="F11" s="199">
        <v>27.66</v>
      </c>
      <c r="G11" s="211">
        <v>96</v>
      </c>
      <c r="H11" s="205">
        <f t="shared" si="0"/>
        <v>117.98753105418793</v>
      </c>
      <c r="I11" s="296">
        <v>95</v>
      </c>
      <c r="J11" s="192">
        <f>MF!I15</f>
        <v>0.68100000000000005</v>
      </c>
      <c r="K11" s="211">
        <v>5</v>
      </c>
      <c r="L11" s="211">
        <v>70</v>
      </c>
      <c r="M11" s="211">
        <v>1.5</v>
      </c>
      <c r="N11" s="226">
        <v>55</v>
      </c>
    </row>
    <row r="12" spans="1:16" ht="24" customHeight="1" x14ac:dyDescent="0.2">
      <c r="A12" s="175">
        <v>8</v>
      </c>
      <c r="B12" s="208">
        <v>1</v>
      </c>
      <c r="C12" s="210">
        <v>1200</v>
      </c>
      <c r="D12" s="199">
        <v>41.3</v>
      </c>
      <c r="E12" s="180">
        <v>19500</v>
      </c>
      <c r="F12" s="199">
        <v>27.66</v>
      </c>
      <c r="G12" s="211">
        <v>96</v>
      </c>
      <c r="H12" s="205">
        <f t="shared" si="0"/>
        <v>117.98753105418793</v>
      </c>
      <c r="I12" s="296">
        <v>95</v>
      </c>
      <c r="J12" s="192">
        <f>MF!I16</f>
        <v>0.68100000000000005</v>
      </c>
      <c r="K12" s="211">
        <v>5</v>
      </c>
      <c r="L12" s="211">
        <v>70</v>
      </c>
      <c r="M12" s="211">
        <v>1.5</v>
      </c>
      <c r="N12" s="226">
        <v>55</v>
      </c>
    </row>
    <row r="13" spans="1:16" ht="24" customHeight="1" x14ac:dyDescent="0.2">
      <c r="A13" s="174">
        <v>9</v>
      </c>
      <c r="B13" s="208">
        <v>1</v>
      </c>
      <c r="C13" s="210">
        <v>1200</v>
      </c>
      <c r="D13" s="199">
        <v>41.3</v>
      </c>
      <c r="E13" s="180">
        <v>19500</v>
      </c>
      <c r="F13" s="199">
        <v>27.66</v>
      </c>
      <c r="G13" s="211">
        <v>96</v>
      </c>
      <c r="H13" s="205">
        <f t="shared" si="0"/>
        <v>117.98753105418793</v>
      </c>
      <c r="I13" s="296">
        <v>95</v>
      </c>
      <c r="J13" s="192">
        <f>MF!I17</f>
        <v>0.68100000000000005</v>
      </c>
      <c r="K13" s="211">
        <v>5</v>
      </c>
      <c r="L13" s="211">
        <v>70</v>
      </c>
      <c r="M13" s="211">
        <v>1.5</v>
      </c>
      <c r="N13" s="226">
        <v>55</v>
      </c>
    </row>
    <row r="14" spans="1:16" ht="24" customHeight="1" x14ac:dyDescent="0.2">
      <c r="A14" s="175">
        <v>10</v>
      </c>
      <c r="B14" s="208">
        <v>1</v>
      </c>
      <c r="C14" s="210">
        <v>1200</v>
      </c>
      <c r="D14" s="199">
        <v>41.3</v>
      </c>
      <c r="E14" s="180">
        <v>19500</v>
      </c>
      <c r="F14" s="199">
        <v>27.66</v>
      </c>
      <c r="G14" s="211">
        <v>96</v>
      </c>
      <c r="H14" s="205">
        <f t="shared" si="0"/>
        <v>117.98753105418793</v>
      </c>
      <c r="I14" s="296">
        <v>95</v>
      </c>
      <c r="J14" s="192">
        <f>MF!I18</f>
        <v>0.68100000000000005</v>
      </c>
      <c r="K14" s="211">
        <v>5</v>
      </c>
      <c r="L14" s="211">
        <v>70</v>
      </c>
      <c r="M14" s="211">
        <v>1.5</v>
      </c>
      <c r="N14" s="226">
        <v>55</v>
      </c>
      <c r="P14" s="295" t="s">
        <v>307</v>
      </c>
    </row>
    <row r="15" spans="1:16" ht="24" customHeight="1" x14ac:dyDescent="0.2">
      <c r="A15" s="174">
        <v>11</v>
      </c>
      <c r="B15" s="208">
        <v>1</v>
      </c>
      <c r="C15" s="210">
        <v>1200</v>
      </c>
      <c r="D15" s="199">
        <v>41.3</v>
      </c>
      <c r="E15" s="180">
        <v>19500</v>
      </c>
      <c r="F15" s="199">
        <v>27.66</v>
      </c>
      <c r="G15" s="211">
        <v>96</v>
      </c>
      <c r="H15" s="205">
        <f t="shared" si="0"/>
        <v>117.98753105418793</v>
      </c>
      <c r="I15" s="296">
        <v>95</v>
      </c>
      <c r="J15" s="192">
        <f>MF!I19</f>
        <v>0.68100000000000005</v>
      </c>
      <c r="K15" s="211">
        <v>5</v>
      </c>
      <c r="L15" s="211">
        <v>70</v>
      </c>
      <c r="M15" s="211">
        <v>1.5</v>
      </c>
      <c r="N15" s="226">
        <v>55</v>
      </c>
    </row>
    <row r="16" spans="1:16" ht="24" customHeight="1" x14ac:dyDescent="0.2">
      <c r="A16" s="175">
        <v>12</v>
      </c>
      <c r="B16" s="208">
        <v>1</v>
      </c>
      <c r="C16" s="210">
        <v>816</v>
      </c>
      <c r="D16" s="199">
        <v>41.3</v>
      </c>
      <c r="E16" s="180">
        <v>19600</v>
      </c>
      <c r="F16" s="199">
        <v>27.66</v>
      </c>
      <c r="G16" s="211">
        <v>96</v>
      </c>
      <c r="H16" s="205">
        <f t="shared" ref="H16:H17" si="1">(7.2*E16*(G16/100))/(D16*F16)</f>
        <v>118.59259531600425</v>
      </c>
      <c r="I16" s="296">
        <v>95</v>
      </c>
      <c r="J16" s="192">
        <f>MF!I20</f>
        <v>0.68100000000000005</v>
      </c>
      <c r="K16" s="211">
        <v>7.5</v>
      </c>
      <c r="L16" s="211">
        <v>70</v>
      </c>
      <c r="M16" s="211">
        <v>3</v>
      </c>
      <c r="N16" s="226">
        <v>55</v>
      </c>
    </row>
    <row r="17" spans="1:14" ht="24" customHeight="1" x14ac:dyDescent="0.2">
      <c r="A17" s="174">
        <v>13</v>
      </c>
      <c r="B17" s="208">
        <v>1</v>
      </c>
      <c r="C17" s="210">
        <v>816</v>
      </c>
      <c r="D17" s="199">
        <v>41.3</v>
      </c>
      <c r="E17" s="180">
        <v>19600</v>
      </c>
      <c r="F17" s="199">
        <v>27.66</v>
      </c>
      <c r="G17" s="211">
        <v>96</v>
      </c>
      <c r="H17" s="205">
        <f t="shared" si="1"/>
        <v>118.59259531600425</v>
      </c>
      <c r="I17" s="296">
        <v>95</v>
      </c>
      <c r="J17" s="192">
        <f>MF!I21</f>
        <v>0.68100000000000005</v>
      </c>
      <c r="K17" s="211">
        <v>7.5</v>
      </c>
      <c r="L17" s="211">
        <v>70</v>
      </c>
      <c r="M17" s="211">
        <v>3</v>
      </c>
      <c r="N17" s="226">
        <v>55</v>
      </c>
    </row>
    <row r="18" spans="1:14" ht="24" customHeight="1" x14ac:dyDescent="0.2">
      <c r="A18" s="175"/>
      <c r="B18" s="208"/>
      <c r="C18" s="210"/>
      <c r="D18" s="199"/>
      <c r="E18" s="180"/>
      <c r="F18" s="199"/>
      <c r="G18" s="211"/>
      <c r="H18" s="205"/>
      <c r="I18" s="296"/>
      <c r="J18" s="192"/>
      <c r="K18" s="211"/>
      <c r="L18" s="211"/>
      <c r="M18" s="211"/>
      <c r="N18" s="226"/>
    </row>
    <row r="19" spans="1:14" ht="24" customHeight="1" x14ac:dyDescent="0.2">
      <c r="A19" s="175"/>
      <c r="B19" s="208"/>
      <c r="C19" s="210"/>
      <c r="D19" s="199"/>
      <c r="E19" s="180"/>
      <c r="F19" s="199"/>
      <c r="G19" s="211"/>
      <c r="H19" s="205"/>
      <c r="I19" s="296"/>
      <c r="J19" s="192"/>
      <c r="K19" s="211"/>
      <c r="L19" s="211"/>
      <c r="M19" s="211"/>
      <c r="N19" s="226"/>
    </row>
    <row r="20" spans="1:14" ht="24" customHeight="1" x14ac:dyDescent="0.2">
      <c r="A20" s="210"/>
      <c r="B20" s="208"/>
      <c r="C20" s="210"/>
      <c r="D20" s="199"/>
      <c r="E20" s="215"/>
      <c r="F20" s="199"/>
      <c r="G20" s="211"/>
      <c r="H20" s="205"/>
      <c r="I20" s="205"/>
      <c r="J20" s="192"/>
      <c r="K20" s="211"/>
      <c r="L20" s="211"/>
      <c r="M20" s="211"/>
      <c r="N20" s="226"/>
    </row>
    <row r="21" spans="1:14" ht="24" customHeight="1" x14ac:dyDescent="0.2">
      <c r="A21" s="210"/>
      <c r="B21" s="208"/>
      <c r="C21" s="210"/>
      <c r="D21" s="199"/>
      <c r="E21" s="215"/>
      <c r="F21" s="199"/>
      <c r="G21" s="211"/>
      <c r="H21" s="205"/>
      <c r="I21" s="205"/>
      <c r="J21" s="192"/>
      <c r="K21" s="211"/>
      <c r="L21" s="211"/>
      <c r="M21" s="211"/>
      <c r="N21" s="226"/>
    </row>
    <row r="22" spans="1:14" ht="24" customHeight="1" x14ac:dyDescent="0.2">
      <c r="A22" s="220" t="s">
        <v>238</v>
      </c>
      <c r="B22" s="213">
        <f>SUM(B5:B21)</f>
        <v>13</v>
      </c>
      <c r="C22" s="214">
        <f>(SUM(C5:C21))/B22</f>
        <v>1140.9230769230769</v>
      </c>
      <c r="D22" s="214">
        <f t="shared" ref="D22:N22" si="2">(($C5*D5)+($C6*D6)+($C7*D7)+($C8*D8)+($C9*D9)+($C10*D10)+($C11*D11)+($C12*D12)+($C13*D13)+($C14*D14)+($C15*D15)+($C16*D16)+($C17*D17)+($C18*D18)+($C19*D19)+($C20*D20)+($C21*D21))/(SUM($C5:$C21))</f>
        <v>41.300000000000004</v>
      </c>
      <c r="E22" s="214">
        <f t="shared" si="2"/>
        <v>19511.003236245953</v>
      </c>
      <c r="F22" s="214">
        <f t="shared" si="2"/>
        <v>27.66</v>
      </c>
      <c r="G22" s="214">
        <f t="shared" si="2"/>
        <v>96</v>
      </c>
      <c r="H22" s="214">
        <f t="shared" si="2"/>
        <v>118.05410770435543</v>
      </c>
      <c r="I22" s="214">
        <f t="shared" si="2"/>
        <v>95</v>
      </c>
      <c r="J22" s="315">
        <f t="shared" si="2"/>
        <v>0.68099999999999994</v>
      </c>
      <c r="K22" s="214">
        <f t="shared" si="2"/>
        <v>5.275080906148867</v>
      </c>
      <c r="L22" s="214">
        <f t="shared" si="2"/>
        <v>70</v>
      </c>
      <c r="M22" s="214">
        <f t="shared" si="2"/>
        <v>1.6650485436893203</v>
      </c>
      <c r="N22" s="214">
        <f t="shared" si="2"/>
        <v>55</v>
      </c>
    </row>
    <row r="23" spans="1:14" ht="24" customHeight="1" x14ac:dyDescent="0.25">
      <c r="A23" s="282" t="s">
        <v>317</v>
      </c>
      <c r="B23" s="160"/>
      <c r="C23" s="283">
        <f>B22*C22</f>
        <v>14832</v>
      </c>
      <c r="D23" s="160"/>
      <c r="E23" s="160"/>
      <c r="G23" s="216"/>
      <c r="H23" s="160"/>
      <c r="I23" s="160"/>
      <c r="J23" s="160"/>
      <c r="K23" s="160"/>
      <c r="L23" s="160"/>
      <c r="M23" s="160"/>
      <c r="N23" s="161"/>
    </row>
    <row r="24" spans="1:14" ht="24" customHeight="1" x14ac:dyDescent="0.2">
      <c r="B24" s="9"/>
      <c r="C24" s="9"/>
      <c r="D24" s="9"/>
    </row>
    <row r="25" spans="1:14" ht="24" customHeight="1" x14ac:dyDescent="0.2">
      <c r="B25" s="9"/>
      <c r="C25" s="9"/>
      <c r="D25" s="9"/>
    </row>
    <row r="26" spans="1:14" ht="24" customHeight="1" x14ac:dyDescent="0.2"/>
  </sheetData>
  <mergeCells count="2">
    <mergeCell ref="A3:N3"/>
    <mergeCell ref="A1:N1"/>
  </mergeCells>
  <pageMargins left="0.25" right="0" top="0" bottom="0" header="0" footer="0"/>
  <pageSetup paperSize="5" scale="98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10"/>
  <sheetViews>
    <sheetView workbookViewId="0">
      <selection activeCell="I15" sqref="I15"/>
    </sheetView>
  </sheetViews>
  <sheetFormatPr defaultRowHeight="12.75" x14ac:dyDescent="0.2"/>
  <cols>
    <col min="1" max="8" width="15.7109375" customWidth="1"/>
    <col min="9" max="11" width="18" customWidth="1"/>
    <col min="12" max="13" width="15.7109375" customWidth="1"/>
  </cols>
  <sheetData>
    <row r="1" spans="1:13" ht="24" customHeight="1" x14ac:dyDescent="0.2">
      <c r="A1" s="375" t="s">
        <v>278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</row>
    <row r="2" spans="1:13" ht="24" customHeight="1" x14ac:dyDescent="0.2">
      <c r="A2" s="195" t="s">
        <v>245</v>
      </c>
      <c r="B2" s="100" t="s">
        <v>248</v>
      </c>
      <c r="C2" s="196" t="s">
        <v>244</v>
      </c>
      <c r="D2" s="196" t="s">
        <v>94</v>
      </c>
      <c r="E2" s="196" t="s">
        <v>221</v>
      </c>
      <c r="F2" s="196" t="s">
        <v>274</v>
      </c>
      <c r="G2" s="196" t="s">
        <v>310</v>
      </c>
      <c r="H2" s="196" t="s">
        <v>286</v>
      </c>
      <c r="I2" s="196" t="s">
        <v>285</v>
      </c>
      <c r="J2" s="196" t="s">
        <v>328</v>
      </c>
      <c r="K2" s="196" t="s">
        <v>285</v>
      </c>
      <c r="L2" s="196" t="s">
        <v>243</v>
      </c>
      <c r="M2" s="196" t="s">
        <v>285</v>
      </c>
    </row>
    <row r="3" spans="1:13" ht="24" customHeight="1" x14ac:dyDescent="0.2">
      <c r="A3" s="206" t="s">
        <v>246</v>
      </c>
      <c r="B3" s="208">
        <v>1</v>
      </c>
      <c r="C3" s="210">
        <v>60</v>
      </c>
      <c r="D3" s="199">
        <v>41.3</v>
      </c>
      <c r="E3" s="212">
        <v>1425</v>
      </c>
      <c r="F3" s="211">
        <v>88</v>
      </c>
      <c r="G3" s="211">
        <v>95</v>
      </c>
      <c r="H3" s="199">
        <v>49.35</v>
      </c>
      <c r="I3" s="199">
        <v>60</v>
      </c>
      <c r="J3" s="199">
        <v>8</v>
      </c>
      <c r="K3" s="199">
        <v>70</v>
      </c>
      <c r="L3" s="199">
        <v>1.5</v>
      </c>
      <c r="M3" s="226">
        <v>60</v>
      </c>
    </row>
    <row r="4" spans="1:13" ht="24" customHeight="1" x14ac:dyDescent="0.2">
      <c r="A4" s="206" t="s">
        <v>247</v>
      </c>
      <c r="B4" s="208">
        <v>1</v>
      </c>
      <c r="C4" s="210">
        <v>60</v>
      </c>
      <c r="D4" s="199">
        <v>41.3</v>
      </c>
      <c r="E4" s="212">
        <v>1425</v>
      </c>
      <c r="F4" s="211">
        <v>88</v>
      </c>
      <c r="G4" s="211">
        <v>95</v>
      </c>
      <c r="H4" s="199">
        <v>49.35</v>
      </c>
      <c r="I4" s="199">
        <v>60</v>
      </c>
      <c r="J4" s="199">
        <v>8</v>
      </c>
      <c r="K4" s="199">
        <v>70</v>
      </c>
      <c r="L4" s="199">
        <v>1.5</v>
      </c>
      <c r="M4" s="226">
        <v>60</v>
      </c>
    </row>
    <row r="5" spans="1:13" ht="24" customHeight="1" x14ac:dyDescent="0.2">
      <c r="A5" s="206" t="s">
        <v>272</v>
      </c>
      <c r="B5" s="208">
        <v>1</v>
      </c>
      <c r="C5" s="210">
        <v>60</v>
      </c>
      <c r="D5" s="199">
        <v>41.3</v>
      </c>
      <c r="E5" s="212">
        <v>1425</v>
      </c>
      <c r="F5" s="211">
        <v>88</v>
      </c>
      <c r="G5" s="211">
        <v>95</v>
      </c>
      <c r="H5" s="199">
        <v>49.35</v>
      </c>
      <c r="I5" s="199">
        <v>60</v>
      </c>
      <c r="J5" s="199">
        <v>8</v>
      </c>
      <c r="K5" s="199">
        <v>70</v>
      </c>
      <c r="L5" s="199">
        <v>1.5</v>
      </c>
      <c r="M5" s="226">
        <v>60</v>
      </c>
    </row>
    <row r="6" spans="1:13" ht="24" customHeight="1" x14ac:dyDescent="0.2">
      <c r="A6" s="206" t="s">
        <v>324</v>
      </c>
      <c r="B6" s="208">
        <v>1</v>
      </c>
      <c r="C6" s="210">
        <v>60</v>
      </c>
      <c r="D6" s="199">
        <v>41.3</v>
      </c>
      <c r="E6" s="212">
        <v>1425</v>
      </c>
      <c r="F6" s="211">
        <v>88</v>
      </c>
      <c r="G6" s="211">
        <v>95</v>
      </c>
      <c r="H6" s="199">
        <v>49.35</v>
      </c>
      <c r="I6" s="199">
        <v>60</v>
      </c>
      <c r="J6" s="199">
        <v>8</v>
      </c>
      <c r="K6" s="199">
        <v>70</v>
      </c>
      <c r="L6" s="199">
        <v>1.5</v>
      </c>
      <c r="M6" s="226">
        <v>60</v>
      </c>
    </row>
    <row r="7" spans="1:13" ht="24" customHeight="1" x14ac:dyDescent="0.2">
      <c r="A7" s="206"/>
      <c r="B7" s="208"/>
      <c r="C7" s="210"/>
      <c r="D7" s="199"/>
      <c r="E7" s="212"/>
      <c r="F7" s="212"/>
      <c r="G7" s="212"/>
      <c r="H7" s="199"/>
      <c r="I7" s="199"/>
      <c r="J7" s="199"/>
      <c r="K7" s="199"/>
      <c r="L7" s="199"/>
      <c r="M7" s="226"/>
    </row>
    <row r="8" spans="1:13" ht="24" customHeight="1" x14ac:dyDescent="0.2">
      <c r="A8" s="206"/>
      <c r="B8" s="208"/>
      <c r="C8" s="210"/>
      <c r="D8" s="199"/>
      <c r="E8" s="212"/>
      <c r="F8" s="212"/>
      <c r="G8" s="212"/>
      <c r="H8" s="199"/>
      <c r="I8" s="199"/>
      <c r="J8" s="199"/>
      <c r="K8" s="199"/>
      <c r="L8" s="199"/>
      <c r="M8" s="226"/>
    </row>
    <row r="9" spans="1:13" ht="24" customHeight="1" x14ac:dyDescent="0.2">
      <c r="A9" s="258" t="s">
        <v>238</v>
      </c>
      <c r="B9" s="213">
        <f>SUM(B3:B8)</f>
        <v>4</v>
      </c>
      <c r="C9" s="214">
        <f>(SUM(C3:C8))/B9</f>
        <v>60</v>
      </c>
      <c r="D9" s="214">
        <f t="shared" ref="D9:M9" si="0">(($C3*D3)+($C4*D4)+($C5*D5)+($C6*D6))/(SUM($C3:$C6))</f>
        <v>41.3</v>
      </c>
      <c r="E9" s="214">
        <f t="shared" si="0"/>
        <v>1425</v>
      </c>
      <c r="F9" s="214">
        <f t="shared" si="0"/>
        <v>88</v>
      </c>
      <c r="G9" s="214">
        <f t="shared" si="0"/>
        <v>95</v>
      </c>
      <c r="H9" s="214">
        <f t="shared" si="0"/>
        <v>49.35</v>
      </c>
      <c r="I9" s="214">
        <f t="shared" si="0"/>
        <v>60</v>
      </c>
      <c r="J9" s="214">
        <f t="shared" si="0"/>
        <v>8</v>
      </c>
      <c r="K9" s="214">
        <f t="shared" si="0"/>
        <v>70</v>
      </c>
      <c r="L9" s="214">
        <f t="shared" si="0"/>
        <v>1.5</v>
      </c>
      <c r="M9" s="214">
        <f t="shared" si="0"/>
        <v>60</v>
      </c>
    </row>
    <row r="10" spans="1:13" ht="15" x14ac:dyDescent="0.2">
      <c r="A10" s="161"/>
      <c r="B10" s="161"/>
      <c r="C10" s="161"/>
      <c r="D10" s="172"/>
      <c r="E10" s="172"/>
      <c r="F10" s="172"/>
      <c r="G10" s="172"/>
      <c r="H10" s="173"/>
      <c r="I10" s="173"/>
      <c r="J10" s="173"/>
      <c r="K10" s="173"/>
      <c r="L10" s="161"/>
    </row>
  </sheetData>
  <mergeCells count="1">
    <mergeCell ref="A1:M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8"/>
  <sheetViews>
    <sheetView workbookViewId="0">
      <selection activeCell="H10" sqref="H10"/>
    </sheetView>
  </sheetViews>
  <sheetFormatPr defaultRowHeight="12.75" x14ac:dyDescent="0.2"/>
  <cols>
    <col min="1" max="1" width="17.42578125" customWidth="1"/>
    <col min="2" max="2" width="21.28515625" customWidth="1"/>
    <col min="3" max="7" width="15.7109375" customWidth="1"/>
    <col min="8" max="8" width="18" customWidth="1"/>
    <col min="9" max="10" width="15.7109375" customWidth="1"/>
  </cols>
  <sheetData>
    <row r="1" spans="1:17" ht="23.1" customHeight="1" x14ac:dyDescent="0.25">
      <c r="A1" s="377" t="s">
        <v>301</v>
      </c>
      <c r="B1" s="377"/>
      <c r="C1" s="377"/>
      <c r="D1" s="377"/>
      <c r="E1" s="377"/>
      <c r="F1" s="377"/>
      <c r="G1" s="256"/>
      <c r="H1" s="187"/>
      <c r="I1" s="187"/>
      <c r="J1" s="187"/>
      <c r="K1" s="187"/>
      <c r="L1" s="187"/>
      <c r="M1" s="264"/>
      <c r="N1" s="265"/>
      <c r="O1" s="265"/>
      <c r="P1" s="265"/>
      <c r="Q1" s="266"/>
    </row>
    <row r="2" spans="1:17" ht="23.1" customHeight="1" x14ac:dyDescent="0.2">
      <c r="A2" s="245" t="s">
        <v>300</v>
      </c>
      <c r="B2" s="268" t="s">
        <v>290</v>
      </c>
      <c r="C2" s="245" t="s">
        <v>291</v>
      </c>
      <c r="D2" s="245" t="s">
        <v>286</v>
      </c>
      <c r="E2" s="246" t="s">
        <v>292</v>
      </c>
      <c r="F2" s="246" t="s">
        <v>293</v>
      </c>
      <c r="G2" s="130"/>
      <c r="H2" s="24"/>
      <c r="I2" s="3"/>
      <c r="J2" s="187"/>
      <c r="K2" s="3"/>
      <c r="L2" s="187"/>
      <c r="M2" s="264"/>
      <c r="N2" s="187"/>
      <c r="O2" s="265"/>
      <c r="P2" s="265"/>
      <c r="Q2" s="3"/>
    </row>
    <row r="3" spans="1:17" ht="23.1" customHeight="1" x14ac:dyDescent="0.2">
      <c r="A3" s="267" t="s">
        <v>295</v>
      </c>
      <c r="B3" s="268" t="s">
        <v>296</v>
      </c>
      <c r="C3" s="245">
        <v>1</v>
      </c>
      <c r="D3" s="269">
        <v>55.77</v>
      </c>
      <c r="E3" s="246">
        <v>70</v>
      </c>
      <c r="F3" s="275">
        <f t="shared" ref="F3:F7" si="0">(C3*D3*E3/100)*24</f>
        <v>936.93600000000004</v>
      </c>
      <c r="G3" s="271"/>
      <c r="H3" s="271"/>
      <c r="I3" s="3"/>
      <c r="J3" s="187"/>
      <c r="K3" s="3"/>
      <c r="L3" s="256"/>
      <c r="M3" s="264"/>
      <c r="N3" s="266"/>
      <c r="O3" s="265"/>
      <c r="P3" s="265"/>
      <c r="Q3" s="3"/>
    </row>
    <row r="4" spans="1:17" ht="23.1" customHeight="1" x14ac:dyDescent="0.2">
      <c r="A4" s="267" t="s">
        <v>297</v>
      </c>
      <c r="B4" s="268" t="s">
        <v>325</v>
      </c>
      <c r="C4" s="245">
        <v>1</v>
      </c>
      <c r="D4" s="269">
        <v>33.700000000000003</v>
      </c>
      <c r="E4" s="246">
        <v>70</v>
      </c>
      <c r="F4" s="275">
        <f t="shared" si="0"/>
        <v>566.16</v>
      </c>
      <c r="G4" s="271"/>
      <c r="H4" s="271"/>
      <c r="I4" s="3"/>
      <c r="J4" s="265"/>
      <c r="K4" s="3"/>
      <c r="L4" s="256"/>
      <c r="M4" s="271"/>
      <c r="N4" s="266"/>
      <c r="O4" s="271"/>
      <c r="P4" s="271"/>
      <c r="Q4" s="3"/>
    </row>
    <row r="5" spans="1:17" ht="23.1" customHeight="1" x14ac:dyDescent="0.2">
      <c r="A5" s="248" t="s">
        <v>298</v>
      </c>
      <c r="B5" s="268" t="s">
        <v>325</v>
      </c>
      <c r="C5" s="245">
        <v>1</v>
      </c>
      <c r="D5" s="270">
        <v>74</v>
      </c>
      <c r="E5" s="246">
        <v>70</v>
      </c>
      <c r="F5" s="275">
        <f t="shared" si="0"/>
        <v>1243.1999999999998</v>
      </c>
      <c r="G5" s="271"/>
      <c r="H5" s="271"/>
      <c r="I5" s="3"/>
      <c r="J5" s="271"/>
      <c r="K5" s="3"/>
      <c r="L5" s="256"/>
      <c r="M5" s="271"/>
      <c r="N5" s="266"/>
      <c r="O5" s="271"/>
      <c r="P5" s="271"/>
      <c r="Q5" s="3"/>
    </row>
    <row r="6" spans="1:17" ht="23.1" customHeight="1" x14ac:dyDescent="0.2">
      <c r="A6" s="248" t="s">
        <v>223</v>
      </c>
      <c r="B6" s="268" t="s">
        <v>325</v>
      </c>
      <c r="C6" s="245">
        <v>1</v>
      </c>
      <c r="D6" s="246">
        <v>87.64</v>
      </c>
      <c r="E6" s="246">
        <v>70</v>
      </c>
      <c r="F6" s="275">
        <f t="shared" si="0"/>
        <v>1472.3519999999999</v>
      </c>
      <c r="G6" s="271"/>
      <c r="H6" s="271"/>
      <c r="I6" s="3"/>
      <c r="J6" s="272"/>
      <c r="K6" s="3"/>
      <c r="L6" s="256"/>
      <c r="M6" s="272"/>
      <c r="N6" s="266"/>
      <c r="O6" s="272"/>
      <c r="P6" s="272"/>
      <c r="Q6" s="3"/>
    </row>
    <row r="7" spans="1:17" ht="23.1" customHeight="1" x14ac:dyDescent="0.2">
      <c r="A7" s="267" t="s">
        <v>299</v>
      </c>
      <c r="B7" s="268"/>
      <c r="C7" s="245">
        <v>1</v>
      </c>
      <c r="D7" s="269">
        <v>22</v>
      </c>
      <c r="E7" s="246">
        <v>70</v>
      </c>
      <c r="F7" s="275">
        <f t="shared" si="0"/>
        <v>369.6</v>
      </c>
      <c r="G7" s="271"/>
      <c r="H7" s="271"/>
      <c r="I7" s="3"/>
      <c r="J7" s="273"/>
      <c r="K7" s="3"/>
      <c r="L7" s="256"/>
      <c r="M7" s="273"/>
      <c r="N7" s="266"/>
      <c r="O7" s="273"/>
      <c r="P7" s="273"/>
      <c r="Q7" s="3"/>
    </row>
    <row r="8" spans="1:17" ht="23.1" customHeight="1" x14ac:dyDescent="0.2">
      <c r="A8" s="258" t="s">
        <v>59</v>
      </c>
      <c r="B8" s="258"/>
      <c r="C8" s="258"/>
      <c r="D8" s="258"/>
      <c r="E8" s="258"/>
      <c r="F8" s="276">
        <f>SUM(F3:F7)</f>
        <v>4588.2479999999996</v>
      </c>
      <c r="G8" s="271"/>
      <c r="H8" s="271"/>
      <c r="I8" s="232"/>
      <c r="J8" s="232"/>
      <c r="K8" s="232"/>
      <c r="L8" s="232"/>
      <c r="M8" s="232"/>
      <c r="N8" s="232"/>
      <c r="O8" s="232"/>
      <c r="P8" s="232"/>
      <c r="Q8" s="274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</vt:i4>
      </vt:variant>
    </vt:vector>
  </HeadingPairs>
  <TitlesOfParts>
    <vt:vector size="13" baseType="lpstr">
      <vt:lpstr>16S-m-c</vt:lpstr>
      <vt:lpstr>80s Mic.Modal</vt:lpstr>
      <vt:lpstr>20S (2)</vt:lpstr>
      <vt:lpstr>o.e-(K)</vt:lpstr>
      <vt:lpstr>30s o.e-(K) (3)</vt:lpstr>
      <vt:lpstr>UKG</vt:lpstr>
      <vt:lpstr>Prep</vt:lpstr>
      <vt:lpstr>MF</vt:lpstr>
      <vt:lpstr>Spin</vt:lpstr>
      <vt:lpstr>AConer</vt:lpstr>
      <vt:lpstr>Utilities</vt:lpstr>
      <vt:lpstr>MF!Print_Area</vt:lpstr>
      <vt:lpstr>UKG!Print_Area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ADMIN</cp:lastModifiedBy>
  <cp:lastPrinted>2024-06-27T10:18:18Z</cp:lastPrinted>
  <dcterms:created xsi:type="dcterms:W3CDTF">2009-03-22T05:11:46Z</dcterms:created>
  <dcterms:modified xsi:type="dcterms:W3CDTF">2024-10-23T10:07:02Z</dcterms:modified>
</cp:coreProperties>
</file>